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ymac/Project/Sadasa Academy/"/>
    </mc:Choice>
  </mc:AlternateContent>
  <xr:revisionPtr revIDLastSave="0" documentId="13_ncr:80001_{C850358C-B9F0-B648-BE1A-1A260A2571BC}" xr6:coauthVersionLast="36" xr6:coauthVersionMax="36" xr10:uidLastSave="{00000000-0000-0000-0000-000000000000}"/>
  <bookViews>
    <workbookView xWindow="0" yWindow="460" windowWidth="33600" windowHeight="19440" activeTab="1" xr2:uid="{00000000-000D-0000-FFFF-FFFF00000000}"/>
  </bookViews>
  <sheets>
    <sheet name="READ FIRST -&gt; How to help" sheetId="1" r:id="rId1"/>
    <sheet name="Awesome People List-Master" sheetId="2" r:id="rId2"/>
    <sheet name="Companies still hiring" sheetId="3" r:id="rId3"/>
    <sheet name="Analytics" sheetId="4" r:id="rId4"/>
  </sheets>
  <definedNames>
    <definedName name="_xlnm._FilterDatabase" localSheetId="1" hidden="1">'Awesome People List-Master'!$B$4:$N$1274</definedName>
    <definedName name="_xlnm._FilterDatabase" localSheetId="2" hidden="1">'Companies still hiring'!$A$4:$J$465</definedName>
    <definedName name="Z_5998820B_B1D1_491C_BBB2_7E8D11E91892_.wvu.FilterData" localSheetId="2" hidden="1">'Companies still hiring'!$A$1:$I$465</definedName>
  </definedNames>
  <calcPr calcId="181029"/>
  <customWorkbookViews>
    <customWorkbookView name="Filter 1" guid="{5998820B-B1D1-491C-BBB2-7E8D11E91892}" maximized="1" windowWidth="0" windowHeight="0" activeSheetId="0"/>
  </customWorkbookViews>
  <pivotCaches>
    <pivotCache cacheId="3" r:id="rId5"/>
  </pivotCaches>
</workbook>
</file>

<file path=xl/calcChain.xml><?xml version="1.0" encoding="utf-8"?>
<calcChain xmlns="http://schemas.openxmlformats.org/spreadsheetml/2006/main">
  <c r="AB1000" i="4" l="1"/>
  <c r="U1000" i="4"/>
  <c r="AB999" i="4"/>
  <c r="U999" i="4"/>
  <c r="AB998" i="4"/>
  <c r="U998" i="4"/>
  <c r="AB997" i="4"/>
  <c r="U997" i="4"/>
  <c r="AB996" i="4"/>
  <c r="U996" i="4"/>
  <c r="AB995" i="4"/>
  <c r="U995" i="4"/>
  <c r="AB994" i="4"/>
  <c r="U994" i="4"/>
  <c r="AB993" i="4"/>
  <c r="U993" i="4"/>
  <c r="AB992" i="4"/>
  <c r="U992" i="4"/>
  <c r="AB991" i="4"/>
  <c r="U991" i="4"/>
  <c r="AB990" i="4"/>
  <c r="U990" i="4"/>
  <c r="AB989" i="4"/>
  <c r="U989" i="4"/>
  <c r="AB988" i="4"/>
  <c r="U988" i="4"/>
  <c r="AB987" i="4"/>
  <c r="U987" i="4"/>
  <c r="AB986" i="4"/>
  <c r="U986" i="4"/>
  <c r="AB985" i="4"/>
  <c r="U985" i="4"/>
  <c r="AB984" i="4"/>
  <c r="U984" i="4"/>
  <c r="AB983" i="4"/>
  <c r="U983" i="4"/>
  <c r="AB982" i="4"/>
  <c r="U982" i="4"/>
  <c r="AB981" i="4"/>
  <c r="U981" i="4"/>
  <c r="AB980" i="4"/>
  <c r="U980" i="4"/>
  <c r="AB979" i="4"/>
  <c r="U979" i="4"/>
  <c r="AB978" i="4"/>
  <c r="U978" i="4"/>
  <c r="AB977" i="4"/>
  <c r="U977" i="4"/>
  <c r="AB976" i="4"/>
  <c r="U976" i="4"/>
  <c r="AB975" i="4"/>
  <c r="U975" i="4"/>
  <c r="AB974" i="4"/>
  <c r="U974" i="4"/>
  <c r="AB973" i="4"/>
  <c r="U973" i="4"/>
  <c r="AB972" i="4"/>
  <c r="U972" i="4"/>
  <c r="AB971" i="4"/>
  <c r="U971" i="4"/>
  <c r="AB970" i="4"/>
  <c r="U970" i="4"/>
  <c r="AB969" i="4"/>
  <c r="U969" i="4"/>
  <c r="AB968" i="4"/>
  <c r="U968" i="4"/>
  <c r="AB967" i="4"/>
  <c r="U967" i="4"/>
  <c r="AB966" i="4"/>
  <c r="U966" i="4"/>
  <c r="AB965" i="4"/>
  <c r="U965" i="4"/>
  <c r="AB964" i="4"/>
  <c r="U964" i="4"/>
  <c r="AB963" i="4"/>
  <c r="U963" i="4"/>
  <c r="AB962" i="4"/>
  <c r="U962" i="4"/>
  <c r="AB961" i="4"/>
  <c r="U961" i="4"/>
  <c r="AB960" i="4"/>
  <c r="U960" i="4"/>
  <c r="AB959" i="4"/>
  <c r="U959" i="4"/>
  <c r="AB958" i="4"/>
  <c r="U958" i="4"/>
  <c r="AB957" i="4"/>
  <c r="U957" i="4"/>
  <c r="AB956" i="4"/>
  <c r="U956" i="4"/>
  <c r="AB955" i="4"/>
  <c r="U955" i="4"/>
  <c r="AB954" i="4"/>
  <c r="U954" i="4"/>
  <c r="AB953" i="4"/>
  <c r="U953" i="4"/>
  <c r="AB952" i="4"/>
  <c r="U952" i="4"/>
  <c r="AB951" i="4"/>
  <c r="U951" i="4"/>
  <c r="AB950" i="4"/>
  <c r="U950" i="4"/>
  <c r="AB949" i="4"/>
  <c r="U949" i="4"/>
  <c r="AB948" i="4"/>
  <c r="U948" i="4"/>
  <c r="AB947" i="4"/>
  <c r="U947" i="4"/>
  <c r="AB946" i="4"/>
  <c r="U946" i="4"/>
  <c r="AB945" i="4"/>
  <c r="U945" i="4"/>
  <c r="AB944" i="4"/>
  <c r="U944" i="4"/>
  <c r="AB943" i="4"/>
  <c r="U943" i="4"/>
  <c r="AB942" i="4"/>
  <c r="U942" i="4"/>
  <c r="AB941" i="4"/>
  <c r="U941" i="4"/>
  <c r="AB940" i="4"/>
  <c r="U940" i="4"/>
  <c r="AB939" i="4"/>
  <c r="U939" i="4"/>
  <c r="AB938" i="4"/>
  <c r="U938" i="4"/>
  <c r="AB937" i="4"/>
  <c r="U937" i="4"/>
  <c r="AB936" i="4"/>
  <c r="U936" i="4"/>
  <c r="AB935" i="4"/>
  <c r="U935" i="4"/>
  <c r="AB934" i="4"/>
  <c r="U934" i="4"/>
  <c r="AB933" i="4"/>
  <c r="U933" i="4"/>
  <c r="AB932" i="4"/>
  <c r="U932" i="4"/>
  <c r="AB931" i="4"/>
  <c r="U931" i="4"/>
  <c r="AB930" i="4"/>
  <c r="U930" i="4"/>
  <c r="AB929" i="4"/>
  <c r="U929" i="4"/>
  <c r="AB928" i="4"/>
  <c r="U928" i="4"/>
  <c r="AB927" i="4"/>
  <c r="U927" i="4"/>
  <c r="AB926" i="4"/>
  <c r="U926" i="4"/>
  <c r="AB925" i="4"/>
  <c r="U925" i="4"/>
  <c r="AB924" i="4"/>
  <c r="U924" i="4"/>
  <c r="AB923" i="4"/>
  <c r="U923" i="4"/>
  <c r="AB922" i="4"/>
  <c r="U922" i="4"/>
  <c r="AB921" i="4"/>
  <c r="U921" i="4"/>
  <c r="AB920" i="4"/>
  <c r="U920" i="4"/>
  <c r="AB919" i="4"/>
  <c r="U919" i="4"/>
  <c r="AB918" i="4"/>
  <c r="U918" i="4"/>
  <c r="AB917" i="4"/>
  <c r="U917" i="4"/>
  <c r="AB916" i="4"/>
  <c r="U916" i="4"/>
  <c r="AB915" i="4"/>
  <c r="U915" i="4"/>
  <c r="AB914" i="4"/>
  <c r="U914" i="4"/>
  <c r="AB913" i="4"/>
  <c r="U913" i="4"/>
  <c r="AB912" i="4"/>
  <c r="U912" i="4"/>
  <c r="AB911" i="4"/>
  <c r="U911" i="4"/>
  <c r="AB910" i="4"/>
  <c r="U910" i="4"/>
  <c r="AB909" i="4"/>
  <c r="U909" i="4"/>
  <c r="AB908" i="4"/>
  <c r="U908" i="4"/>
  <c r="AB907" i="4"/>
  <c r="U907" i="4"/>
  <c r="AB906" i="4"/>
  <c r="U906" i="4"/>
  <c r="AB905" i="4"/>
  <c r="U905" i="4"/>
  <c r="AB904" i="4"/>
  <c r="U904" i="4"/>
  <c r="AB903" i="4"/>
  <c r="U903" i="4"/>
  <c r="AB902" i="4"/>
  <c r="U902" i="4"/>
  <c r="AB901" i="4"/>
  <c r="U901" i="4"/>
  <c r="AB900" i="4"/>
  <c r="U900" i="4"/>
  <c r="AB899" i="4"/>
  <c r="U899" i="4"/>
  <c r="AB898" i="4"/>
  <c r="U898" i="4"/>
  <c r="AB897" i="4"/>
  <c r="U897" i="4"/>
  <c r="AB896" i="4"/>
  <c r="U896" i="4"/>
  <c r="AB895" i="4"/>
  <c r="U895" i="4"/>
  <c r="AB894" i="4"/>
  <c r="U894" i="4"/>
  <c r="AB893" i="4"/>
  <c r="U893" i="4"/>
  <c r="AB892" i="4"/>
  <c r="U892" i="4"/>
  <c r="AB891" i="4"/>
  <c r="U891" i="4"/>
  <c r="AB890" i="4"/>
  <c r="U890" i="4"/>
  <c r="AB889" i="4"/>
  <c r="U889" i="4"/>
  <c r="AB888" i="4"/>
  <c r="U888" i="4"/>
  <c r="AB887" i="4"/>
  <c r="U887" i="4"/>
  <c r="AB886" i="4"/>
  <c r="U886" i="4"/>
  <c r="AB885" i="4"/>
  <c r="U885" i="4"/>
  <c r="AB884" i="4"/>
  <c r="U884" i="4"/>
  <c r="AB883" i="4"/>
  <c r="U883" i="4"/>
  <c r="AB882" i="4"/>
  <c r="U882" i="4"/>
  <c r="AB881" i="4"/>
  <c r="U881" i="4"/>
  <c r="AB880" i="4"/>
  <c r="U880" i="4"/>
  <c r="AB879" i="4"/>
  <c r="U879" i="4"/>
  <c r="AB878" i="4"/>
  <c r="U878" i="4"/>
  <c r="AB877" i="4"/>
  <c r="U877" i="4"/>
  <c r="AB876" i="4"/>
  <c r="U876" i="4"/>
  <c r="AB875" i="4"/>
  <c r="U875" i="4"/>
  <c r="AB874" i="4"/>
  <c r="U874" i="4"/>
  <c r="AB873" i="4"/>
  <c r="U873" i="4"/>
  <c r="AB872" i="4"/>
  <c r="U872" i="4"/>
  <c r="AB871" i="4"/>
  <c r="U871" i="4"/>
  <c r="AB870" i="4"/>
  <c r="U870" i="4"/>
  <c r="AB869" i="4"/>
  <c r="U869" i="4"/>
  <c r="AB868" i="4"/>
  <c r="U868" i="4"/>
  <c r="AB867" i="4"/>
  <c r="U867" i="4"/>
  <c r="AB866" i="4"/>
  <c r="U866" i="4"/>
  <c r="AB865" i="4"/>
  <c r="U865" i="4"/>
  <c r="AB864" i="4"/>
  <c r="U864" i="4"/>
  <c r="AB863" i="4"/>
  <c r="U863" i="4"/>
  <c r="AB862" i="4"/>
  <c r="U862" i="4"/>
  <c r="AB861" i="4"/>
  <c r="U861" i="4"/>
  <c r="AB860" i="4"/>
  <c r="U860" i="4"/>
  <c r="AB859" i="4"/>
  <c r="U859" i="4"/>
  <c r="AB858" i="4"/>
  <c r="U858" i="4"/>
  <c r="AB857" i="4"/>
  <c r="U857" i="4"/>
  <c r="AB856" i="4"/>
  <c r="U856" i="4"/>
  <c r="AB855" i="4"/>
  <c r="U855" i="4"/>
  <c r="AB854" i="4"/>
  <c r="U854" i="4"/>
  <c r="AB853" i="4"/>
  <c r="U853" i="4"/>
  <c r="AB852" i="4"/>
  <c r="U852" i="4"/>
  <c r="AB851" i="4"/>
  <c r="U851" i="4"/>
  <c r="AB850" i="4"/>
  <c r="U850" i="4"/>
  <c r="AB849" i="4"/>
  <c r="U849" i="4"/>
  <c r="AB848" i="4"/>
  <c r="U848" i="4"/>
  <c r="AB847" i="4"/>
  <c r="U847" i="4"/>
  <c r="AB846" i="4"/>
  <c r="U846" i="4"/>
  <c r="AB845" i="4"/>
  <c r="U845" i="4"/>
  <c r="AB844" i="4"/>
  <c r="U844" i="4"/>
  <c r="AB843" i="4"/>
  <c r="U843" i="4"/>
  <c r="AB842" i="4"/>
  <c r="U842" i="4"/>
  <c r="AB841" i="4"/>
  <c r="U841" i="4"/>
  <c r="AB840" i="4"/>
  <c r="U840" i="4"/>
  <c r="AB839" i="4"/>
  <c r="U839" i="4"/>
  <c r="AB838" i="4"/>
  <c r="U838" i="4"/>
  <c r="AB837" i="4"/>
  <c r="U837" i="4"/>
  <c r="AB836" i="4"/>
  <c r="U836" i="4"/>
  <c r="AB835" i="4"/>
  <c r="U835" i="4"/>
  <c r="AB834" i="4"/>
  <c r="U834" i="4"/>
  <c r="AB833" i="4"/>
  <c r="U833" i="4"/>
  <c r="AB832" i="4"/>
  <c r="U832" i="4"/>
  <c r="AB831" i="4"/>
  <c r="U831" i="4"/>
  <c r="AB830" i="4"/>
  <c r="U830" i="4"/>
  <c r="AB829" i="4"/>
  <c r="U829" i="4"/>
  <c r="AB828" i="4"/>
  <c r="T828" i="4"/>
  <c r="U828" i="4" s="1"/>
  <c r="AB827" i="4"/>
  <c r="T827" i="4"/>
  <c r="U827" i="4" s="1"/>
  <c r="AB826" i="4"/>
  <c r="T826" i="4"/>
  <c r="U826" i="4" s="1"/>
  <c r="AB825" i="4"/>
  <c r="T825" i="4"/>
  <c r="U825" i="4" s="1"/>
  <c r="AB824" i="4"/>
  <c r="T824" i="4"/>
  <c r="U824" i="4" s="1"/>
  <c r="AB823" i="4"/>
  <c r="T823" i="4"/>
  <c r="U823" i="4" s="1"/>
  <c r="AB822" i="4"/>
  <c r="U822" i="4"/>
  <c r="T822" i="4"/>
  <c r="AB821" i="4"/>
  <c r="T821" i="4"/>
  <c r="U821" i="4" s="1"/>
  <c r="AB820" i="4"/>
  <c r="T820" i="4"/>
  <c r="U820" i="4" s="1"/>
  <c r="AB819" i="4"/>
  <c r="T819" i="4"/>
  <c r="U819" i="4" s="1"/>
  <c r="AB818" i="4"/>
  <c r="T818" i="4"/>
  <c r="U818" i="4" s="1"/>
  <c r="AB817" i="4"/>
  <c r="T817" i="4"/>
  <c r="U817" i="4" s="1"/>
  <c r="AB816" i="4"/>
  <c r="T816" i="4"/>
  <c r="U816" i="4" s="1"/>
  <c r="AB815" i="4"/>
  <c r="T815" i="4"/>
  <c r="U815" i="4" s="1"/>
  <c r="AB814" i="4"/>
  <c r="T814" i="4"/>
  <c r="U814" i="4" s="1"/>
  <c r="AB813" i="4"/>
  <c r="T813" i="4"/>
  <c r="U813" i="4" s="1"/>
  <c r="AB812" i="4"/>
  <c r="T812" i="4"/>
  <c r="U812" i="4" s="1"/>
  <c r="AB811" i="4"/>
  <c r="T811" i="4"/>
  <c r="U811" i="4" s="1"/>
  <c r="AB810" i="4"/>
  <c r="T810" i="4"/>
  <c r="U810" i="4" s="1"/>
  <c r="AB809" i="4"/>
  <c r="T809" i="4"/>
  <c r="U809" i="4" s="1"/>
  <c r="AB808" i="4"/>
  <c r="T808" i="4"/>
  <c r="U808" i="4" s="1"/>
  <c r="AB807" i="4"/>
  <c r="T807" i="4"/>
  <c r="U807" i="4" s="1"/>
  <c r="AB806" i="4"/>
  <c r="T806" i="4"/>
  <c r="U806" i="4" s="1"/>
  <c r="AB805" i="4"/>
  <c r="T805" i="4"/>
  <c r="U805" i="4" s="1"/>
  <c r="AB804" i="4"/>
  <c r="T804" i="4"/>
  <c r="U804" i="4" s="1"/>
  <c r="AB803" i="4"/>
  <c r="T803" i="4"/>
  <c r="U803" i="4" s="1"/>
  <c r="AB802" i="4"/>
  <c r="T802" i="4"/>
  <c r="U802" i="4" s="1"/>
  <c r="AB801" i="4"/>
  <c r="T801" i="4"/>
  <c r="U801" i="4" s="1"/>
  <c r="AB800" i="4"/>
  <c r="T800" i="4"/>
  <c r="U800" i="4" s="1"/>
  <c r="AB799" i="4"/>
  <c r="T799" i="4"/>
  <c r="U799" i="4" s="1"/>
  <c r="AB798" i="4"/>
  <c r="T798" i="4"/>
  <c r="U798" i="4" s="1"/>
  <c r="AB797" i="4"/>
  <c r="T797" i="4"/>
  <c r="U797" i="4" s="1"/>
  <c r="AB796" i="4"/>
  <c r="T796" i="4"/>
  <c r="U796" i="4" s="1"/>
  <c r="AB795" i="4"/>
  <c r="T795" i="4"/>
  <c r="U795" i="4" s="1"/>
  <c r="AB794" i="4"/>
  <c r="T794" i="4"/>
  <c r="U794" i="4" s="1"/>
  <c r="AB793" i="4"/>
  <c r="T793" i="4"/>
  <c r="U793" i="4" s="1"/>
  <c r="AB792" i="4"/>
  <c r="T792" i="4"/>
  <c r="U792" i="4" s="1"/>
  <c r="AB791" i="4"/>
  <c r="T791" i="4"/>
  <c r="U791" i="4" s="1"/>
  <c r="AB790" i="4"/>
  <c r="T790" i="4"/>
  <c r="U790" i="4" s="1"/>
  <c r="AB789" i="4"/>
  <c r="T789" i="4"/>
  <c r="U789" i="4" s="1"/>
  <c r="AB788" i="4"/>
  <c r="T788" i="4"/>
  <c r="U788" i="4" s="1"/>
  <c r="AB787" i="4"/>
  <c r="T787" i="4"/>
  <c r="U787" i="4" s="1"/>
  <c r="AB786" i="4"/>
  <c r="T786" i="4"/>
  <c r="U786" i="4" s="1"/>
  <c r="AB785" i="4"/>
  <c r="T785" i="4"/>
  <c r="U785" i="4" s="1"/>
  <c r="AB784" i="4"/>
  <c r="T784" i="4"/>
  <c r="U784" i="4" s="1"/>
  <c r="AB783" i="4"/>
  <c r="T783" i="4"/>
  <c r="U783" i="4" s="1"/>
  <c r="AB782" i="4"/>
  <c r="T782" i="4"/>
  <c r="U782" i="4" s="1"/>
  <c r="AB781" i="4"/>
  <c r="T781" i="4"/>
  <c r="U781" i="4" s="1"/>
  <c r="AB780" i="4"/>
  <c r="T780" i="4"/>
  <c r="U780" i="4" s="1"/>
  <c r="AB779" i="4"/>
  <c r="T779" i="4"/>
  <c r="U779" i="4" s="1"/>
  <c r="AB778" i="4"/>
  <c r="T778" i="4"/>
  <c r="U778" i="4" s="1"/>
  <c r="AB777" i="4"/>
  <c r="T777" i="4"/>
  <c r="U777" i="4" s="1"/>
  <c r="AB776" i="4"/>
  <c r="T776" i="4"/>
  <c r="U776" i="4" s="1"/>
  <c r="AB775" i="4"/>
  <c r="T775" i="4"/>
  <c r="U775" i="4" s="1"/>
  <c r="AB774" i="4"/>
  <c r="T774" i="4"/>
  <c r="U774" i="4" s="1"/>
  <c r="AB773" i="4"/>
  <c r="T773" i="4"/>
  <c r="U773" i="4" s="1"/>
  <c r="AB772" i="4"/>
  <c r="T772" i="4"/>
  <c r="U772" i="4" s="1"/>
  <c r="AB771" i="4"/>
  <c r="T771" i="4"/>
  <c r="U771" i="4" s="1"/>
  <c r="AB770" i="4"/>
  <c r="T770" i="4"/>
  <c r="U770" i="4" s="1"/>
  <c r="AB769" i="4"/>
  <c r="T769" i="4"/>
  <c r="U769" i="4" s="1"/>
  <c r="AB768" i="4"/>
  <c r="T768" i="4"/>
  <c r="U768" i="4" s="1"/>
  <c r="AB767" i="4"/>
  <c r="T767" i="4"/>
  <c r="U767" i="4" s="1"/>
  <c r="AB766" i="4"/>
  <c r="T766" i="4"/>
  <c r="U766" i="4" s="1"/>
  <c r="AB765" i="4"/>
  <c r="T765" i="4"/>
  <c r="U765" i="4" s="1"/>
  <c r="AB764" i="4"/>
  <c r="T764" i="4"/>
  <c r="U764" i="4" s="1"/>
  <c r="AB763" i="4"/>
  <c r="T763" i="4"/>
  <c r="U763" i="4" s="1"/>
  <c r="AB762" i="4"/>
  <c r="T762" i="4"/>
  <c r="U762" i="4" s="1"/>
  <c r="AB761" i="4"/>
  <c r="T761" i="4"/>
  <c r="U761" i="4" s="1"/>
  <c r="AB760" i="4"/>
  <c r="T760" i="4"/>
  <c r="U760" i="4" s="1"/>
  <c r="AB759" i="4"/>
  <c r="T759" i="4"/>
  <c r="U759" i="4" s="1"/>
  <c r="AB758" i="4"/>
  <c r="T758" i="4"/>
  <c r="U758" i="4" s="1"/>
  <c r="AB757" i="4"/>
  <c r="T757" i="4"/>
  <c r="U757" i="4" s="1"/>
  <c r="AB756" i="4"/>
  <c r="T756" i="4"/>
  <c r="U756" i="4" s="1"/>
  <c r="AB755" i="4"/>
  <c r="T755" i="4"/>
  <c r="U755" i="4" s="1"/>
  <c r="AB754" i="4"/>
  <c r="T754" i="4"/>
  <c r="U754" i="4" s="1"/>
  <c r="AB753" i="4"/>
  <c r="T753" i="4"/>
  <c r="U753" i="4" s="1"/>
  <c r="AB752" i="4"/>
  <c r="T752" i="4"/>
  <c r="U752" i="4" s="1"/>
  <c r="AB751" i="4"/>
  <c r="T751" i="4"/>
  <c r="U751" i="4" s="1"/>
  <c r="AB750" i="4"/>
  <c r="T750" i="4"/>
  <c r="U750" i="4" s="1"/>
  <c r="AB749" i="4"/>
  <c r="T749" i="4"/>
  <c r="U749" i="4" s="1"/>
  <c r="AB748" i="4"/>
  <c r="T748" i="4"/>
  <c r="U748" i="4" s="1"/>
  <c r="AB747" i="4"/>
  <c r="T747" i="4"/>
  <c r="U747" i="4" s="1"/>
  <c r="AB746" i="4"/>
  <c r="T746" i="4"/>
  <c r="U746" i="4" s="1"/>
  <c r="AB745" i="4"/>
  <c r="T745" i="4"/>
  <c r="U745" i="4" s="1"/>
  <c r="AB744" i="4"/>
  <c r="T744" i="4"/>
  <c r="U744" i="4" s="1"/>
  <c r="AB743" i="4"/>
  <c r="T743" i="4"/>
  <c r="U743" i="4" s="1"/>
  <c r="AB742" i="4"/>
  <c r="T742" i="4"/>
  <c r="U742" i="4" s="1"/>
  <c r="AB741" i="4"/>
  <c r="T741" i="4"/>
  <c r="U741" i="4" s="1"/>
  <c r="AB740" i="4"/>
  <c r="T740" i="4"/>
  <c r="U740" i="4" s="1"/>
  <c r="AB739" i="4"/>
  <c r="T739" i="4"/>
  <c r="U739" i="4" s="1"/>
  <c r="AB738" i="4"/>
  <c r="T738" i="4"/>
  <c r="U738" i="4" s="1"/>
  <c r="AB737" i="4"/>
  <c r="T737" i="4"/>
  <c r="U737" i="4" s="1"/>
  <c r="AB736" i="4"/>
  <c r="T736" i="4"/>
  <c r="U736" i="4" s="1"/>
  <c r="AB735" i="4"/>
  <c r="T735" i="4"/>
  <c r="U735" i="4" s="1"/>
  <c r="AB734" i="4"/>
  <c r="T734" i="4"/>
  <c r="U734" i="4" s="1"/>
  <c r="AB733" i="4"/>
  <c r="T733" i="4"/>
  <c r="U733" i="4" s="1"/>
  <c r="AB732" i="4"/>
  <c r="T732" i="4"/>
  <c r="U732" i="4" s="1"/>
  <c r="AB731" i="4"/>
  <c r="T731" i="4"/>
  <c r="U731" i="4" s="1"/>
  <c r="AB730" i="4"/>
  <c r="T730" i="4"/>
  <c r="U730" i="4" s="1"/>
  <c r="AB729" i="4"/>
  <c r="T729" i="4"/>
  <c r="U729" i="4" s="1"/>
  <c r="AB728" i="4"/>
  <c r="T728" i="4"/>
  <c r="U728" i="4" s="1"/>
  <c r="AB727" i="4"/>
  <c r="T727" i="4"/>
  <c r="U727" i="4" s="1"/>
  <c r="AB726" i="4"/>
  <c r="T726" i="4"/>
  <c r="U726" i="4" s="1"/>
  <c r="AB725" i="4"/>
  <c r="T725" i="4"/>
  <c r="U725" i="4" s="1"/>
  <c r="AB724" i="4"/>
  <c r="T724" i="4"/>
  <c r="U724" i="4" s="1"/>
  <c r="AB723" i="4"/>
  <c r="T723" i="4"/>
  <c r="U723" i="4" s="1"/>
  <c r="AB722" i="4"/>
  <c r="T722" i="4"/>
  <c r="U722" i="4" s="1"/>
  <c r="AB721" i="4"/>
  <c r="T721" i="4"/>
  <c r="U721" i="4" s="1"/>
  <c r="AB720" i="4"/>
  <c r="T720" i="4"/>
  <c r="U720" i="4" s="1"/>
  <c r="AB719" i="4"/>
  <c r="T719" i="4"/>
  <c r="U719" i="4" s="1"/>
  <c r="AB718" i="4"/>
  <c r="T718" i="4"/>
  <c r="U718" i="4" s="1"/>
  <c r="AB717" i="4"/>
  <c r="T717" i="4"/>
  <c r="U717" i="4" s="1"/>
  <c r="AB716" i="4"/>
  <c r="T716" i="4"/>
  <c r="U716" i="4" s="1"/>
  <c r="AB715" i="4"/>
  <c r="T715" i="4"/>
  <c r="U715" i="4" s="1"/>
  <c r="AB714" i="4"/>
  <c r="T714" i="4"/>
  <c r="U714" i="4" s="1"/>
  <c r="AB713" i="4"/>
  <c r="T713" i="4"/>
  <c r="U713" i="4" s="1"/>
  <c r="AB712" i="4"/>
  <c r="T712" i="4"/>
  <c r="U712" i="4" s="1"/>
  <c r="AB711" i="4"/>
  <c r="T711" i="4"/>
  <c r="U711" i="4" s="1"/>
  <c r="AB710" i="4"/>
  <c r="T710" i="4"/>
  <c r="U710" i="4" s="1"/>
  <c r="AB709" i="4"/>
  <c r="T709" i="4"/>
  <c r="U709" i="4" s="1"/>
  <c r="AB708" i="4"/>
  <c r="T708" i="4"/>
  <c r="U708" i="4" s="1"/>
  <c r="AB707" i="4"/>
  <c r="T707" i="4"/>
  <c r="U707" i="4" s="1"/>
  <c r="AB706" i="4"/>
  <c r="T706" i="4"/>
  <c r="U706" i="4" s="1"/>
  <c r="AB705" i="4"/>
  <c r="T705" i="4"/>
  <c r="U705" i="4" s="1"/>
  <c r="AB704" i="4"/>
  <c r="T704" i="4"/>
  <c r="U704" i="4" s="1"/>
  <c r="AB703" i="4"/>
  <c r="T703" i="4"/>
  <c r="U703" i="4" s="1"/>
  <c r="AB702" i="4"/>
  <c r="T702" i="4"/>
  <c r="U702" i="4" s="1"/>
  <c r="AB701" i="4"/>
  <c r="T701" i="4"/>
  <c r="U701" i="4" s="1"/>
  <c r="AB700" i="4"/>
  <c r="T700" i="4"/>
  <c r="U700" i="4" s="1"/>
  <c r="AB699" i="4"/>
  <c r="T699" i="4"/>
  <c r="U699" i="4" s="1"/>
  <c r="AB698" i="4"/>
  <c r="T698" i="4"/>
  <c r="U698" i="4" s="1"/>
  <c r="AB697" i="4"/>
  <c r="T697" i="4"/>
  <c r="U697" i="4" s="1"/>
  <c r="AB696" i="4"/>
  <c r="T696" i="4"/>
  <c r="U696" i="4" s="1"/>
  <c r="AB695" i="4"/>
  <c r="T695" i="4"/>
  <c r="U695" i="4" s="1"/>
  <c r="AB694" i="4"/>
  <c r="T694" i="4"/>
  <c r="U694" i="4" s="1"/>
  <c r="AB693" i="4"/>
  <c r="T693" i="4"/>
  <c r="U693" i="4" s="1"/>
  <c r="AB692" i="4"/>
  <c r="T692" i="4"/>
  <c r="U692" i="4" s="1"/>
  <c r="AB691" i="4"/>
  <c r="T691" i="4"/>
  <c r="U691" i="4" s="1"/>
  <c r="AB690" i="4"/>
  <c r="T690" i="4"/>
  <c r="U690" i="4" s="1"/>
  <c r="AB689" i="4"/>
  <c r="T689" i="4"/>
  <c r="U689" i="4" s="1"/>
  <c r="AB688" i="4"/>
  <c r="T688" i="4"/>
  <c r="U688" i="4" s="1"/>
  <c r="AB687" i="4"/>
  <c r="T687" i="4"/>
  <c r="U687" i="4" s="1"/>
  <c r="AB686" i="4"/>
  <c r="T686" i="4"/>
  <c r="U686" i="4" s="1"/>
  <c r="AB685" i="4"/>
  <c r="T685" i="4"/>
  <c r="U685" i="4" s="1"/>
  <c r="AB684" i="4"/>
  <c r="T684" i="4"/>
  <c r="U684" i="4" s="1"/>
  <c r="AB683" i="4"/>
  <c r="T683" i="4"/>
  <c r="U683" i="4" s="1"/>
  <c r="AB682" i="4"/>
  <c r="T682" i="4"/>
  <c r="U682" i="4" s="1"/>
  <c r="AB681" i="4"/>
  <c r="T681" i="4"/>
  <c r="U681" i="4" s="1"/>
  <c r="AB680" i="4"/>
  <c r="T680" i="4"/>
  <c r="U680" i="4" s="1"/>
  <c r="AB679" i="4"/>
  <c r="T679" i="4"/>
  <c r="U679" i="4" s="1"/>
  <c r="AB678" i="4"/>
  <c r="T678" i="4"/>
  <c r="U678" i="4" s="1"/>
  <c r="AB677" i="4"/>
  <c r="T677" i="4"/>
  <c r="U677" i="4" s="1"/>
  <c r="AB676" i="4"/>
  <c r="T676" i="4"/>
  <c r="U676" i="4" s="1"/>
  <c r="AB675" i="4"/>
  <c r="T675" i="4"/>
  <c r="U675" i="4" s="1"/>
  <c r="AB674" i="4"/>
  <c r="T674" i="4"/>
  <c r="U674" i="4" s="1"/>
  <c r="AB673" i="4"/>
  <c r="T673" i="4"/>
  <c r="U673" i="4" s="1"/>
  <c r="AB672" i="4"/>
  <c r="T672" i="4"/>
  <c r="U672" i="4" s="1"/>
  <c r="AB671" i="4"/>
  <c r="T671" i="4"/>
  <c r="U671" i="4" s="1"/>
  <c r="AB670" i="4"/>
  <c r="T670" i="4"/>
  <c r="U670" i="4" s="1"/>
  <c r="AB669" i="4"/>
  <c r="T669" i="4"/>
  <c r="U669" i="4" s="1"/>
  <c r="AB668" i="4"/>
  <c r="T668" i="4"/>
  <c r="U668" i="4" s="1"/>
  <c r="AB667" i="4"/>
  <c r="T667" i="4"/>
  <c r="U667" i="4" s="1"/>
  <c r="AB666" i="4"/>
  <c r="T666" i="4"/>
  <c r="U666" i="4" s="1"/>
  <c r="AB665" i="4"/>
  <c r="T665" i="4"/>
  <c r="U665" i="4" s="1"/>
  <c r="AB664" i="4"/>
  <c r="T664" i="4"/>
  <c r="U664" i="4" s="1"/>
  <c r="AB663" i="4"/>
  <c r="T663" i="4"/>
  <c r="U663" i="4" s="1"/>
  <c r="AB662" i="4"/>
  <c r="T662" i="4"/>
  <c r="U662" i="4" s="1"/>
  <c r="AB661" i="4"/>
  <c r="T661" i="4"/>
  <c r="U661" i="4" s="1"/>
  <c r="AB660" i="4"/>
  <c r="T660" i="4"/>
  <c r="U660" i="4" s="1"/>
  <c r="AB659" i="4"/>
  <c r="T659" i="4"/>
  <c r="U659" i="4" s="1"/>
  <c r="AB658" i="4"/>
  <c r="T658" i="4"/>
  <c r="U658" i="4" s="1"/>
  <c r="AB657" i="4"/>
  <c r="T657" i="4"/>
  <c r="U657" i="4" s="1"/>
  <c r="AB656" i="4"/>
  <c r="T656" i="4"/>
  <c r="U656" i="4" s="1"/>
  <c r="AB655" i="4"/>
  <c r="T655" i="4"/>
  <c r="U655" i="4" s="1"/>
  <c r="AB654" i="4"/>
  <c r="T654" i="4"/>
  <c r="U654" i="4" s="1"/>
  <c r="AB653" i="4"/>
  <c r="T653" i="4"/>
  <c r="U653" i="4" s="1"/>
  <c r="AB652" i="4"/>
  <c r="T652" i="4"/>
  <c r="U652" i="4" s="1"/>
  <c r="AB651" i="4"/>
  <c r="T651" i="4"/>
  <c r="U651" i="4" s="1"/>
  <c r="AB650" i="4"/>
  <c r="T650" i="4"/>
  <c r="U650" i="4" s="1"/>
  <c r="AB649" i="4"/>
  <c r="T649" i="4"/>
  <c r="U649" i="4" s="1"/>
  <c r="AB648" i="4"/>
  <c r="T648" i="4"/>
  <c r="U648" i="4" s="1"/>
  <c r="AB647" i="4"/>
  <c r="T647" i="4"/>
  <c r="U647" i="4" s="1"/>
  <c r="AB646" i="4"/>
  <c r="T646" i="4"/>
  <c r="U646" i="4" s="1"/>
  <c r="AB645" i="4"/>
  <c r="T645" i="4"/>
  <c r="U645" i="4" s="1"/>
  <c r="AB644" i="4"/>
  <c r="T644" i="4"/>
  <c r="U644" i="4" s="1"/>
  <c r="AB643" i="4"/>
  <c r="T643" i="4"/>
  <c r="U643" i="4" s="1"/>
  <c r="AB642" i="4"/>
  <c r="T642" i="4"/>
  <c r="U642" i="4" s="1"/>
  <c r="AB641" i="4"/>
  <c r="T641" i="4"/>
  <c r="U641" i="4" s="1"/>
  <c r="AB640" i="4"/>
  <c r="T640" i="4"/>
  <c r="U640" i="4" s="1"/>
  <c r="AB639" i="4"/>
  <c r="T639" i="4"/>
  <c r="U639" i="4" s="1"/>
  <c r="AB638" i="4"/>
  <c r="T638" i="4"/>
  <c r="U638" i="4" s="1"/>
  <c r="AB637" i="4"/>
  <c r="T637" i="4"/>
  <c r="U637" i="4" s="1"/>
  <c r="AB636" i="4"/>
  <c r="T636" i="4"/>
  <c r="U636" i="4" s="1"/>
  <c r="AB635" i="4"/>
  <c r="T635" i="4"/>
  <c r="U635" i="4" s="1"/>
  <c r="AB634" i="4"/>
  <c r="T634" i="4"/>
  <c r="U634" i="4" s="1"/>
  <c r="AB633" i="4"/>
  <c r="T633" i="4"/>
  <c r="U633" i="4" s="1"/>
  <c r="AB632" i="4"/>
  <c r="T632" i="4"/>
  <c r="U632" i="4" s="1"/>
  <c r="AB631" i="4"/>
  <c r="T631" i="4"/>
  <c r="U631" i="4" s="1"/>
  <c r="AB630" i="4"/>
  <c r="T630" i="4"/>
  <c r="U630" i="4" s="1"/>
  <c r="AB629" i="4"/>
  <c r="T629" i="4"/>
  <c r="U629" i="4" s="1"/>
  <c r="AB628" i="4"/>
  <c r="T628" i="4"/>
  <c r="U628" i="4" s="1"/>
  <c r="AB627" i="4"/>
  <c r="T627" i="4"/>
  <c r="U627" i="4" s="1"/>
  <c r="AB626" i="4"/>
  <c r="T626" i="4"/>
  <c r="U626" i="4" s="1"/>
  <c r="AB625" i="4"/>
  <c r="T625" i="4"/>
  <c r="U625" i="4" s="1"/>
  <c r="AB624" i="4"/>
  <c r="T624" i="4"/>
  <c r="U624" i="4" s="1"/>
  <c r="AB623" i="4"/>
  <c r="T623" i="4"/>
  <c r="U623" i="4" s="1"/>
  <c r="AB622" i="4"/>
  <c r="T622" i="4"/>
  <c r="U622" i="4" s="1"/>
  <c r="AB621" i="4"/>
  <c r="T621" i="4"/>
  <c r="U621" i="4" s="1"/>
  <c r="AB620" i="4"/>
  <c r="T620" i="4"/>
  <c r="U620" i="4" s="1"/>
  <c r="AB619" i="4"/>
  <c r="T619" i="4"/>
  <c r="U619" i="4" s="1"/>
  <c r="AB618" i="4"/>
  <c r="T618" i="4"/>
  <c r="U618" i="4" s="1"/>
  <c r="AB617" i="4"/>
  <c r="T617" i="4"/>
  <c r="U617" i="4" s="1"/>
  <c r="AB616" i="4"/>
  <c r="T616" i="4"/>
  <c r="U616" i="4" s="1"/>
  <c r="AB615" i="4"/>
  <c r="T615" i="4"/>
  <c r="U615" i="4" s="1"/>
  <c r="AB614" i="4"/>
  <c r="T614" i="4"/>
  <c r="U614" i="4" s="1"/>
  <c r="AB613" i="4"/>
  <c r="T613" i="4"/>
  <c r="U613" i="4" s="1"/>
  <c r="AB612" i="4"/>
  <c r="T612" i="4"/>
  <c r="U612" i="4" s="1"/>
  <c r="AB611" i="4"/>
  <c r="T611" i="4"/>
  <c r="U611" i="4" s="1"/>
  <c r="AB610" i="4"/>
  <c r="T610" i="4"/>
  <c r="U610" i="4" s="1"/>
  <c r="AB609" i="4"/>
  <c r="T609" i="4"/>
  <c r="U609" i="4" s="1"/>
  <c r="AB608" i="4"/>
  <c r="T608" i="4"/>
  <c r="U608" i="4" s="1"/>
  <c r="AB607" i="4"/>
  <c r="T607" i="4"/>
  <c r="U607" i="4" s="1"/>
  <c r="AB606" i="4"/>
  <c r="T606" i="4"/>
  <c r="U606" i="4" s="1"/>
  <c r="AB605" i="4"/>
  <c r="T605" i="4"/>
  <c r="U605" i="4" s="1"/>
  <c r="AB604" i="4"/>
  <c r="T604" i="4"/>
  <c r="U604" i="4" s="1"/>
  <c r="AB603" i="4"/>
  <c r="T603" i="4"/>
  <c r="U603" i="4" s="1"/>
  <c r="AB602" i="4"/>
  <c r="T602" i="4"/>
  <c r="U602" i="4" s="1"/>
  <c r="AB601" i="4"/>
  <c r="T601" i="4"/>
  <c r="U601" i="4" s="1"/>
  <c r="AB600" i="4"/>
  <c r="T600" i="4"/>
  <c r="U600" i="4" s="1"/>
  <c r="AB599" i="4"/>
  <c r="T599" i="4"/>
  <c r="U599" i="4" s="1"/>
  <c r="AB598" i="4"/>
  <c r="T598" i="4"/>
  <c r="U598" i="4" s="1"/>
  <c r="AB597" i="4"/>
  <c r="T597" i="4"/>
  <c r="U597" i="4" s="1"/>
  <c r="AB596" i="4"/>
  <c r="T596" i="4"/>
  <c r="U596" i="4" s="1"/>
  <c r="AB595" i="4"/>
  <c r="T595" i="4"/>
  <c r="U595" i="4" s="1"/>
  <c r="AB594" i="4"/>
  <c r="T594" i="4"/>
  <c r="U594" i="4" s="1"/>
  <c r="AB593" i="4"/>
  <c r="T593" i="4"/>
  <c r="U593" i="4" s="1"/>
  <c r="AB592" i="4"/>
  <c r="T592" i="4"/>
  <c r="U592" i="4" s="1"/>
  <c r="AB591" i="4"/>
  <c r="T591" i="4"/>
  <c r="U591" i="4" s="1"/>
  <c r="AB590" i="4"/>
  <c r="T590" i="4"/>
  <c r="U590" i="4" s="1"/>
  <c r="AB589" i="4"/>
  <c r="T589" i="4"/>
  <c r="U589" i="4" s="1"/>
  <c r="AB588" i="4"/>
  <c r="T588" i="4"/>
  <c r="U588" i="4" s="1"/>
  <c r="AB587" i="4"/>
  <c r="T587" i="4"/>
  <c r="U587" i="4" s="1"/>
  <c r="AB586" i="4"/>
  <c r="T586" i="4"/>
  <c r="U586" i="4" s="1"/>
  <c r="AB585" i="4"/>
  <c r="T585" i="4"/>
  <c r="U585" i="4" s="1"/>
  <c r="AB584" i="4"/>
  <c r="T584" i="4"/>
  <c r="U584" i="4" s="1"/>
  <c r="AB583" i="4"/>
  <c r="T583" i="4"/>
  <c r="U583" i="4" s="1"/>
  <c r="AB582" i="4"/>
  <c r="T582" i="4"/>
  <c r="U582" i="4" s="1"/>
  <c r="AB581" i="4"/>
  <c r="T581" i="4"/>
  <c r="U581" i="4" s="1"/>
  <c r="AB580" i="4"/>
  <c r="T580" i="4"/>
  <c r="U580" i="4" s="1"/>
  <c r="AB579" i="4"/>
  <c r="T579" i="4"/>
  <c r="U579" i="4" s="1"/>
  <c r="AB578" i="4"/>
  <c r="T578" i="4"/>
  <c r="U578" i="4" s="1"/>
  <c r="AB577" i="4"/>
  <c r="T577" i="4"/>
  <c r="U577" i="4" s="1"/>
  <c r="AB576" i="4"/>
  <c r="T576" i="4"/>
  <c r="U576" i="4" s="1"/>
  <c r="AB575" i="4"/>
  <c r="T575" i="4"/>
  <c r="U575" i="4" s="1"/>
  <c r="AB574" i="4"/>
  <c r="T574" i="4"/>
  <c r="U574" i="4" s="1"/>
  <c r="AB573" i="4"/>
  <c r="T573" i="4"/>
  <c r="U573" i="4" s="1"/>
  <c r="AB572" i="4"/>
  <c r="T572" i="4"/>
  <c r="U572" i="4" s="1"/>
  <c r="AB571" i="4"/>
  <c r="T571" i="4"/>
  <c r="U571" i="4" s="1"/>
  <c r="AB570" i="4"/>
  <c r="T570" i="4"/>
  <c r="U570" i="4" s="1"/>
  <c r="AB569" i="4"/>
  <c r="T569" i="4"/>
  <c r="U569" i="4" s="1"/>
  <c r="AB568" i="4"/>
  <c r="T568" i="4"/>
  <c r="U568" i="4" s="1"/>
  <c r="AB567" i="4"/>
  <c r="T567" i="4"/>
  <c r="U567" i="4" s="1"/>
  <c r="AB566" i="4"/>
  <c r="T566" i="4"/>
  <c r="U566" i="4" s="1"/>
  <c r="AB565" i="4"/>
  <c r="T565" i="4"/>
  <c r="U565" i="4" s="1"/>
  <c r="AB564" i="4"/>
  <c r="T564" i="4"/>
  <c r="U564" i="4" s="1"/>
  <c r="AB563" i="4"/>
  <c r="T563" i="4"/>
  <c r="U563" i="4" s="1"/>
  <c r="AB562" i="4"/>
  <c r="T562" i="4"/>
  <c r="U562" i="4" s="1"/>
  <c r="AB561" i="4"/>
  <c r="T561" i="4"/>
  <c r="U561" i="4" s="1"/>
  <c r="AB560" i="4"/>
  <c r="T560" i="4"/>
  <c r="U560" i="4" s="1"/>
  <c r="AB559" i="4"/>
  <c r="T559" i="4"/>
  <c r="U559" i="4" s="1"/>
  <c r="AB558" i="4"/>
  <c r="T558" i="4"/>
  <c r="U558" i="4" s="1"/>
  <c r="AB557" i="4"/>
  <c r="T557" i="4"/>
  <c r="U557" i="4" s="1"/>
  <c r="AB556" i="4"/>
  <c r="T556" i="4"/>
  <c r="U556" i="4" s="1"/>
  <c r="AB555" i="4"/>
  <c r="T555" i="4"/>
  <c r="U555" i="4" s="1"/>
  <c r="AB554" i="4"/>
  <c r="T554" i="4"/>
  <c r="U554" i="4" s="1"/>
  <c r="AB553" i="4"/>
  <c r="T553" i="4"/>
  <c r="U553" i="4" s="1"/>
  <c r="AB552" i="4"/>
  <c r="T552" i="4"/>
  <c r="U552" i="4" s="1"/>
  <c r="AB551" i="4"/>
  <c r="T551" i="4"/>
  <c r="U551" i="4" s="1"/>
  <c r="AB550" i="4"/>
  <c r="T550" i="4"/>
  <c r="U550" i="4" s="1"/>
  <c r="AB549" i="4"/>
  <c r="T549" i="4"/>
  <c r="U549" i="4" s="1"/>
  <c r="AB548" i="4"/>
  <c r="T548" i="4"/>
  <c r="U548" i="4" s="1"/>
  <c r="AB547" i="4"/>
  <c r="T547" i="4"/>
  <c r="U547" i="4" s="1"/>
  <c r="AB546" i="4"/>
  <c r="T546" i="4"/>
  <c r="U546" i="4" s="1"/>
  <c r="AB545" i="4"/>
  <c r="T545" i="4"/>
  <c r="U545" i="4" s="1"/>
  <c r="AB544" i="4"/>
  <c r="T544" i="4"/>
  <c r="U544" i="4" s="1"/>
  <c r="AB543" i="4"/>
  <c r="T543" i="4"/>
  <c r="U543" i="4" s="1"/>
  <c r="AB542" i="4"/>
  <c r="T542" i="4"/>
  <c r="U542" i="4" s="1"/>
  <c r="AB541" i="4"/>
  <c r="T541" i="4"/>
  <c r="U541" i="4" s="1"/>
  <c r="AB540" i="4"/>
  <c r="T540" i="4"/>
  <c r="U540" i="4" s="1"/>
  <c r="AB539" i="4"/>
  <c r="T539" i="4"/>
  <c r="U539" i="4" s="1"/>
  <c r="AB538" i="4"/>
  <c r="T538" i="4"/>
  <c r="U538" i="4" s="1"/>
  <c r="AB537" i="4"/>
  <c r="T537" i="4"/>
  <c r="U537" i="4" s="1"/>
  <c r="AB536" i="4"/>
  <c r="T536" i="4"/>
  <c r="U536" i="4" s="1"/>
  <c r="AB535" i="4"/>
  <c r="T535" i="4"/>
  <c r="U535" i="4" s="1"/>
  <c r="AB534" i="4"/>
  <c r="T534" i="4"/>
  <c r="U534" i="4" s="1"/>
  <c r="AB533" i="4"/>
  <c r="T533" i="4"/>
  <c r="U533" i="4" s="1"/>
  <c r="AB532" i="4"/>
  <c r="T532" i="4"/>
  <c r="U532" i="4" s="1"/>
  <c r="AB531" i="4"/>
  <c r="T531" i="4"/>
  <c r="U531" i="4" s="1"/>
  <c r="AB530" i="4"/>
  <c r="T530" i="4"/>
  <c r="U530" i="4" s="1"/>
  <c r="AB529" i="4"/>
  <c r="T529" i="4"/>
  <c r="U529" i="4" s="1"/>
  <c r="AB528" i="4"/>
  <c r="T528" i="4"/>
  <c r="U528" i="4" s="1"/>
  <c r="AB527" i="4"/>
  <c r="T527" i="4"/>
  <c r="U527" i="4" s="1"/>
  <c r="AB526" i="4"/>
  <c r="T526" i="4"/>
  <c r="U526" i="4" s="1"/>
  <c r="AB525" i="4"/>
  <c r="T525" i="4"/>
  <c r="U525" i="4" s="1"/>
  <c r="AB524" i="4"/>
  <c r="T524" i="4"/>
  <c r="U524" i="4" s="1"/>
  <c r="AB523" i="4"/>
  <c r="T523" i="4"/>
  <c r="U523" i="4" s="1"/>
  <c r="AB522" i="4"/>
  <c r="T522" i="4"/>
  <c r="U522" i="4" s="1"/>
  <c r="AB521" i="4"/>
  <c r="T521" i="4"/>
  <c r="U521" i="4" s="1"/>
  <c r="AB520" i="4"/>
  <c r="T520" i="4"/>
  <c r="U520" i="4" s="1"/>
  <c r="AB519" i="4"/>
  <c r="T519" i="4"/>
  <c r="U519" i="4" s="1"/>
  <c r="AB518" i="4"/>
  <c r="T518" i="4"/>
  <c r="U518" i="4" s="1"/>
  <c r="AB517" i="4"/>
  <c r="T517" i="4"/>
  <c r="U517" i="4" s="1"/>
  <c r="AB516" i="4"/>
  <c r="T516" i="4"/>
  <c r="U516" i="4" s="1"/>
  <c r="AB515" i="4"/>
  <c r="T515" i="4"/>
  <c r="U515" i="4" s="1"/>
  <c r="AB514" i="4"/>
  <c r="T514" i="4"/>
  <c r="U514" i="4" s="1"/>
  <c r="AB513" i="4"/>
  <c r="T513" i="4"/>
  <c r="U513" i="4" s="1"/>
  <c r="AB512" i="4"/>
  <c r="T512" i="4"/>
  <c r="U512" i="4" s="1"/>
  <c r="AB511" i="4"/>
  <c r="T511" i="4"/>
  <c r="U511" i="4" s="1"/>
  <c r="AB510" i="4"/>
  <c r="T510" i="4"/>
  <c r="U510" i="4" s="1"/>
  <c r="AB509" i="4"/>
  <c r="T509" i="4"/>
  <c r="U509" i="4" s="1"/>
  <c r="AB508" i="4"/>
  <c r="T508" i="4"/>
  <c r="U508" i="4" s="1"/>
  <c r="AB507" i="4"/>
  <c r="T507" i="4"/>
  <c r="U507" i="4" s="1"/>
  <c r="AB506" i="4"/>
  <c r="T506" i="4"/>
  <c r="U506" i="4" s="1"/>
  <c r="AB505" i="4"/>
  <c r="T505" i="4"/>
  <c r="U505" i="4" s="1"/>
  <c r="AB504" i="4"/>
  <c r="T504" i="4"/>
  <c r="U504" i="4" s="1"/>
  <c r="AB503" i="4"/>
  <c r="T503" i="4"/>
  <c r="U503" i="4" s="1"/>
  <c r="AB502" i="4"/>
  <c r="T502" i="4"/>
  <c r="U502" i="4" s="1"/>
  <c r="AB501" i="4"/>
  <c r="T501" i="4"/>
  <c r="U501" i="4" s="1"/>
  <c r="AB500" i="4"/>
  <c r="T500" i="4"/>
  <c r="U500" i="4" s="1"/>
  <c r="AB499" i="4"/>
  <c r="T499" i="4"/>
  <c r="U499" i="4" s="1"/>
  <c r="AB498" i="4"/>
  <c r="T498" i="4"/>
  <c r="U498" i="4" s="1"/>
  <c r="AB497" i="4"/>
  <c r="T497" i="4"/>
  <c r="U497" i="4" s="1"/>
  <c r="AB496" i="4"/>
  <c r="T496" i="4"/>
  <c r="U496" i="4" s="1"/>
  <c r="AB495" i="4"/>
  <c r="T495" i="4"/>
  <c r="U495" i="4" s="1"/>
  <c r="AB494" i="4"/>
  <c r="T494" i="4"/>
  <c r="U494" i="4" s="1"/>
  <c r="AB493" i="4"/>
  <c r="T493" i="4"/>
  <c r="U493" i="4" s="1"/>
  <c r="AB492" i="4"/>
  <c r="T492" i="4"/>
  <c r="U492" i="4" s="1"/>
  <c r="AB491" i="4"/>
  <c r="T491" i="4"/>
  <c r="U491" i="4" s="1"/>
  <c r="AB490" i="4"/>
  <c r="T490" i="4"/>
  <c r="U490" i="4" s="1"/>
  <c r="AB489" i="4"/>
  <c r="T489" i="4"/>
  <c r="U489" i="4" s="1"/>
  <c r="AB488" i="4"/>
  <c r="T488" i="4"/>
  <c r="U488" i="4" s="1"/>
  <c r="AB487" i="4"/>
  <c r="T487" i="4"/>
  <c r="U487" i="4" s="1"/>
  <c r="AB486" i="4"/>
  <c r="T486" i="4"/>
  <c r="U486" i="4" s="1"/>
  <c r="AB485" i="4"/>
  <c r="T485" i="4"/>
  <c r="U485" i="4" s="1"/>
  <c r="AB484" i="4"/>
  <c r="T484" i="4"/>
  <c r="U484" i="4" s="1"/>
  <c r="AB483" i="4"/>
  <c r="T483" i="4"/>
  <c r="U483" i="4" s="1"/>
  <c r="AB482" i="4"/>
  <c r="T482" i="4"/>
  <c r="U482" i="4" s="1"/>
  <c r="AB481" i="4"/>
  <c r="T481" i="4"/>
  <c r="U481" i="4" s="1"/>
  <c r="AB480" i="4"/>
  <c r="T480" i="4"/>
  <c r="U480" i="4" s="1"/>
  <c r="AB479" i="4"/>
  <c r="T479" i="4"/>
  <c r="U479" i="4" s="1"/>
  <c r="AB478" i="4"/>
  <c r="T478" i="4"/>
  <c r="U478" i="4" s="1"/>
  <c r="AB477" i="4"/>
  <c r="T477" i="4"/>
  <c r="U477" i="4" s="1"/>
  <c r="AB476" i="4"/>
  <c r="T476" i="4"/>
  <c r="U476" i="4" s="1"/>
  <c r="AB475" i="4"/>
  <c r="T475" i="4"/>
  <c r="U475" i="4" s="1"/>
  <c r="AB474" i="4"/>
  <c r="T474" i="4"/>
  <c r="U474" i="4" s="1"/>
  <c r="AB473" i="4"/>
  <c r="T473" i="4"/>
  <c r="U473" i="4" s="1"/>
  <c r="AB472" i="4"/>
  <c r="T472" i="4"/>
  <c r="U472" i="4" s="1"/>
  <c r="AB471" i="4"/>
  <c r="T471" i="4"/>
  <c r="U471" i="4" s="1"/>
  <c r="AB470" i="4"/>
  <c r="T470" i="4"/>
  <c r="U470" i="4" s="1"/>
  <c r="AB469" i="4"/>
  <c r="T469" i="4"/>
  <c r="U469" i="4" s="1"/>
  <c r="AB468" i="4"/>
  <c r="T468" i="4"/>
  <c r="U468" i="4" s="1"/>
  <c r="AB467" i="4"/>
  <c r="T467" i="4"/>
  <c r="U467" i="4" s="1"/>
  <c r="AB466" i="4"/>
  <c r="T466" i="4"/>
  <c r="U466" i="4" s="1"/>
  <c r="AB465" i="4"/>
  <c r="T465" i="4"/>
  <c r="U465" i="4" s="1"/>
  <c r="AB464" i="4"/>
  <c r="T464" i="4"/>
  <c r="U464" i="4" s="1"/>
  <c r="AB463" i="4"/>
  <c r="T463" i="4"/>
  <c r="U463" i="4" s="1"/>
  <c r="AB462" i="4"/>
  <c r="T462" i="4"/>
  <c r="U462" i="4" s="1"/>
  <c r="AB461" i="4"/>
  <c r="T461" i="4"/>
  <c r="U461" i="4" s="1"/>
  <c r="AB460" i="4"/>
  <c r="T460" i="4"/>
  <c r="U460" i="4" s="1"/>
  <c r="AB459" i="4"/>
  <c r="T459" i="4"/>
  <c r="U459" i="4" s="1"/>
  <c r="AB458" i="4"/>
  <c r="T458" i="4"/>
  <c r="U458" i="4" s="1"/>
  <c r="AB457" i="4"/>
  <c r="T457" i="4"/>
  <c r="U457" i="4" s="1"/>
  <c r="AB456" i="4"/>
  <c r="T456" i="4"/>
  <c r="U456" i="4" s="1"/>
  <c r="AB455" i="4"/>
  <c r="T455" i="4"/>
  <c r="U455" i="4" s="1"/>
  <c r="AB454" i="4"/>
  <c r="T454" i="4"/>
  <c r="U454" i="4" s="1"/>
  <c r="AB453" i="4"/>
  <c r="T453" i="4"/>
  <c r="U453" i="4" s="1"/>
  <c r="AB452" i="4"/>
  <c r="T452" i="4"/>
  <c r="U452" i="4" s="1"/>
  <c r="AB451" i="4"/>
  <c r="T451" i="4"/>
  <c r="U451" i="4" s="1"/>
  <c r="AB450" i="4"/>
  <c r="T450" i="4"/>
  <c r="U450" i="4" s="1"/>
  <c r="AB449" i="4"/>
  <c r="T449" i="4"/>
  <c r="U449" i="4" s="1"/>
  <c r="AB448" i="4"/>
  <c r="T448" i="4"/>
  <c r="U448" i="4" s="1"/>
  <c r="AB447" i="4"/>
  <c r="T447" i="4"/>
  <c r="U447" i="4" s="1"/>
  <c r="AB446" i="4"/>
  <c r="T446" i="4"/>
  <c r="U446" i="4" s="1"/>
  <c r="AB445" i="4"/>
  <c r="T445" i="4"/>
  <c r="U445" i="4" s="1"/>
  <c r="AB444" i="4"/>
  <c r="T444" i="4"/>
  <c r="U444" i="4" s="1"/>
  <c r="AB443" i="4"/>
  <c r="T443" i="4"/>
  <c r="U443" i="4" s="1"/>
  <c r="AB442" i="4"/>
  <c r="T442" i="4"/>
  <c r="U442" i="4" s="1"/>
  <c r="AB441" i="4"/>
  <c r="T441" i="4"/>
  <c r="U441" i="4" s="1"/>
  <c r="AB440" i="4"/>
  <c r="T440" i="4"/>
  <c r="U440" i="4" s="1"/>
  <c r="AB439" i="4"/>
  <c r="T439" i="4"/>
  <c r="U439" i="4" s="1"/>
  <c r="AB438" i="4"/>
  <c r="T438" i="4"/>
  <c r="U438" i="4" s="1"/>
  <c r="AB437" i="4"/>
  <c r="T437" i="4"/>
  <c r="U437" i="4" s="1"/>
  <c r="AB436" i="4"/>
  <c r="T436" i="4"/>
  <c r="U436" i="4" s="1"/>
  <c r="AB435" i="4"/>
  <c r="T435" i="4"/>
  <c r="U435" i="4" s="1"/>
  <c r="AB434" i="4"/>
  <c r="T434" i="4"/>
  <c r="U434" i="4" s="1"/>
  <c r="AB433" i="4"/>
  <c r="T433" i="4"/>
  <c r="U433" i="4" s="1"/>
  <c r="AB432" i="4"/>
  <c r="T432" i="4"/>
  <c r="U432" i="4" s="1"/>
  <c r="AB431" i="4"/>
  <c r="T431" i="4"/>
  <c r="U431" i="4" s="1"/>
  <c r="AB430" i="4"/>
  <c r="T430" i="4"/>
  <c r="U430" i="4" s="1"/>
  <c r="AB429" i="4"/>
  <c r="T429" i="4"/>
  <c r="U429" i="4" s="1"/>
  <c r="AB428" i="4"/>
  <c r="T428" i="4"/>
  <c r="U428" i="4" s="1"/>
  <c r="AB427" i="4"/>
  <c r="T427" i="4"/>
  <c r="U427" i="4" s="1"/>
  <c r="AB426" i="4"/>
  <c r="T426" i="4"/>
  <c r="U426" i="4" s="1"/>
  <c r="AB425" i="4"/>
  <c r="T425" i="4"/>
  <c r="U425" i="4" s="1"/>
  <c r="AB424" i="4"/>
  <c r="T424" i="4"/>
  <c r="U424" i="4" s="1"/>
  <c r="AB423" i="4"/>
  <c r="T423" i="4"/>
  <c r="U423" i="4" s="1"/>
  <c r="AB422" i="4"/>
  <c r="T422" i="4"/>
  <c r="U422" i="4" s="1"/>
  <c r="AB421" i="4"/>
  <c r="T421" i="4"/>
  <c r="U421" i="4" s="1"/>
  <c r="AB420" i="4"/>
  <c r="T420" i="4"/>
  <c r="U420" i="4" s="1"/>
  <c r="AB419" i="4"/>
  <c r="T419" i="4"/>
  <c r="U419" i="4" s="1"/>
  <c r="AB418" i="4"/>
  <c r="T418" i="4"/>
  <c r="U418" i="4" s="1"/>
  <c r="AB417" i="4"/>
  <c r="T417" i="4"/>
  <c r="U417" i="4" s="1"/>
  <c r="AB416" i="4"/>
  <c r="T416" i="4"/>
  <c r="U416" i="4" s="1"/>
  <c r="AB415" i="4"/>
  <c r="T415" i="4"/>
  <c r="U415" i="4" s="1"/>
  <c r="AB414" i="4"/>
  <c r="T414" i="4"/>
  <c r="U414" i="4" s="1"/>
  <c r="AB413" i="4"/>
  <c r="T413" i="4"/>
  <c r="U413" i="4" s="1"/>
  <c r="AB412" i="4"/>
  <c r="T412" i="4"/>
  <c r="U412" i="4" s="1"/>
  <c r="AB411" i="4"/>
  <c r="T411" i="4"/>
  <c r="U411" i="4" s="1"/>
  <c r="AB410" i="4"/>
  <c r="T410" i="4"/>
  <c r="U410" i="4" s="1"/>
  <c r="AB409" i="4"/>
  <c r="T409" i="4"/>
  <c r="U409" i="4" s="1"/>
  <c r="AB408" i="4"/>
  <c r="T408" i="4"/>
  <c r="U408" i="4" s="1"/>
  <c r="AB407" i="4"/>
  <c r="T407" i="4"/>
  <c r="U407" i="4" s="1"/>
  <c r="AB406" i="4"/>
  <c r="T406" i="4"/>
  <c r="U406" i="4" s="1"/>
  <c r="AB405" i="4"/>
  <c r="T405" i="4"/>
  <c r="U405" i="4" s="1"/>
  <c r="AB404" i="4"/>
  <c r="T404" i="4"/>
  <c r="U404" i="4" s="1"/>
  <c r="AB403" i="4"/>
  <c r="T403" i="4"/>
  <c r="U403" i="4" s="1"/>
  <c r="AB402" i="4"/>
  <c r="T402" i="4"/>
  <c r="U402" i="4" s="1"/>
  <c r="AB401" i="4"/>
  <c r="T401" i="4"/>
  <c r="U401" i="4" s="1"/>
  <c r="AB400" i="4"/>
  <c r="T400" i="4"/>
  <c r="U400" i="4" s="1"/>
  <c r="AB399" i="4"/>
  <c r="T399" i="4"/>
  <c r="U399" i="4" s="1"/>
  <c r="AB398" i="4"/>
  <c r="T398" i="4"/>
  <c r="U398" i="4" s="1"/>
  <c r="AB397" i="4"/>
  <c r="T397" i="4"/>
  <c r="U397" i="4" s="1"/>
  <c r="AB396" i="4"/>
  <c r="T396" i="4"/>
  <c r="U396" i="4" s="1"/>
  <c r="AB395" i="4"/>
  <c r="T395" i="4"/>
  <c r="U395" i="4" s="1"/>
  <c r="AB394" i="4"/>
  <c r="T394" i="4"/>
  <c r="U394" i="4" s="1"/>
  <c r="AB393" i="4"/>
  <c r="T393" i="4"/>
  <c r="U393" i="4" s="1"/>
  <c r="AB392" i="4"/>
  <c r="T392" i="4"/>
  <c r="U392" i="4" s="1"/>
  <c r="AB391" i="4"/>
  <c r="T391" i="4"/>
  <c r="U391" i="4" s="1"/>
  <c r="AB390" i="4"/>
  <c r="T390" i="4"/>
  <c r="U390" i="4" s="1"/>
  <c r="AB389" i="4"/>
  <c r="T389" i="4"/>
  <c r="U389" i="4" s="1"/>
  <c r="AB388" i="4"/>
  <c r="T388" i="4"/>
  <c r="U388" i="4" s="1"/>
  <c r="AB387" i="4"/>
  <c r="T387" i="4"/>
  <c r="U387" i="4" s="1"/>
  <c r="AB386" i="4"/>
  <c r="T386" i="4"/>
  <c r="U386" i="4" s="1"/>
  <c r="AB385" i="4"/>
  <c r="T385" i="4"/>
  <c r="U385" i="4" s="1"/>
  <c r="AB384" i="4"/>
  <c r="T384" i="4"/>
  <c r="U384" i="4" s="1"/>
  <c r="AB383" i="4"/>
  <c r="T383" i="4"/>
  <c r="U383" i="4" s="1"/>
  <c r="AB382" i="4"/>
  <c r="T382" i="4"/>
  <c r="U382" i="4" s="1"/>
  <c r="AB381" i="4"/>
  <c r="T381" i="4"/>
  <c r="U381" i="4" s="1"/>
  <c r="AB380" i="4"/>
  <c r="T380" i="4"/>
  <c r="U380" i="4" s="1"/>
  <c r="AB379" i="4"/>
  <c r="T379" i="4"/>
  <c r="U379" i="4" s="1"/>
  <c r="AB378" i="4"/>
  <c r="T378" i="4"/>
  <c r="U378" i="4" s="1"/>
  <c r="AB377" i="4"/>
  <c r="T377" i="4"/>
  <c r="U377" i="4" s="1"/>
  <c r="AB376" i="4"/>
  <c r="T376" i="4"/>
  <c r="U376" i="4" s="1"/>
  <c r="AB375" i="4"/>
  <c r="T375" i="4"/>
  <c r="U375" i="4" s="1"/>
  <c r="AB374" i="4"/>
  <c r="T374" i="4"/>
  <c r="U374" i="4" s="1"/>
  <c r="AB373" i="4"/>
  <c r="T373" i="4"/>
  <c r="U373" i="4" s="1"/>
  <c r="AB372" i="4"/>
  <c r="T372" i="4"/>
  <c r="U372" i="4" s="1"/>
  <c r="AB371" i="4"/>
  <c r="T371" i="4"/>
  <c r="U371" i="4" s="1"/>
  <c r="AB370" i="4"/>
  <c r="T370" i="4"/>
  <c r="U370" i="4" s="1"/>
  <c r="AB369" i="4"/>
  <c r="T369" i="4"/>
  <c r="U369" i="4" s="1"/>
  <c r="AB368" i="4"/>
  <c r="T368" i="4"/>
  <c r="U368" i="4" s="1"/>
  <c r="AB367" i="4"/>
  <c r="T367" i="4"/>
  <c r="U367" i="4" s="1"/>
  <c r="AB366" i="4"/>
  <c r="T366" i="4"/>
  <c r="U366" i="4" s="1"/>
  <c r="AB365" i="4"/>
  <c r="T365" i="4"/>
  <c r="U365" i="4" s="1"/>
  <c r="AB364" i="4"/>
  <c r="T364" i="4"/>
  <c r="U364" i="4" s="1"/>
  <c r="AB363" i="4"/>
  <c r="T363" i="4"/>
  <c r="U363" i="4" s="1"/>
  <c r="AB362" i="4"/>
  <c r="T362" i="4"/>
  <c r="U362" i="4" s="1"/>
  <c r="AB361" i="4"/>
  <c r="T361" i="4"/>
  <c r="U361" i="4" s="1"/>
  <c r="AB360" i="4"/>
  <c r="T360" i="4"/>
  <c r="U360" i="4" s="1"/>
  <c r="AB359" i="4"/>
  <c r="T359" i="4"/>
  <c r="U359" i="4" s="1"/>
  <c r="AB358" i="4"/>
  <c r="T358" i="4"/>
  <c r="U358" i="4" s="1"/>
  <c r="AB357" i="4"/>
  <c r="T357" i="4"/>
  <c r="U357" i="4" s="1"/>
  <c r="AB356" i="4"/>
  <c r="T356" i="4"/>
  <c r="U356" i="4" s="1"/>
  <c r="AB355" i="4"/>
  <c r="T355" i="4"/>
  <c r="U355" i="4" s="1"/>
  <c r="AB354" i="4"/>
  <c r="T354" i="4"/>
  <c r="U354" i="4" s="1"/>
  <c r="AB353" i="4"/>
  <c r="T353" i="4"/>
  <c r="U353" i="4" s="1"/>
  <c r="AB352" i="4"/>
  <c r="T352" i="4"/>
  <c r="U352" i="4" s="1"/>
  <c r="AB351" i="4"/>
  <c r="T351" i="4"/>
  <c r="U351" i="4" s="1"/>
  <c r="AB350" i="4"/>
  <c r="T350" i="4"/>
  <c r="U350" i="4" s="1"/>
  <c r="AB349" i="4"/>
  <c r="T349" i="4"/>
  <c r="U349" i="4" s="1"/>
  <c r="AB348" i="4"/>
  <c r="T348" i="4"/>
  <c r="U348" i="4" s="1"/>
  <c r="AB347" i="4"/>
  <c r="T347" i="4"/>
  <c r="U347" i="4" s="1"/>
  <c r="AB346" i="4"/>
  <c r="T346" i="4"/>
  <c r="U346" i="4" s="1"/>
  <c r="AB345" i="4"/>
  <c r="T345" i="4"/>
  <c r="U345" i="4" s="1"/>
  <c r="AB344" i="4"/>
  <c r="T344" i="4"/>
  <c r="U344" i="4" s="1"/>
  <c r="AB343" i="4"/>
  <c r="T343" i="4"/>
  <c r="U343" i="4" s="1"/>
  <c r="AB342" i="4"/>
  <c r="T342" i="4"/>
  <c r="U342" i="4" s="1"/>
  <c r="AB341" i="4"/>
  <c r="T341" i="4"/>
  <c r="U341" i="4" s="1"/>
  <c r="AB340" i="4"/>
  <c r="T340" i="4"/>
  <c r="U340" i="4" s="1"/>
  <c r="AB339" i="4"/>
  <c r="T339" i="4"/>
  <c r="U339" i="4" s="1"/>
  <c r="AB338" i="4"/>
  <c r="T338" i="4"/>
  <c r="U338" i="4" s="1"/>
  <c r="AB337" i="4"/>
  <c r="T337" i="4"/>
  <c r="U337" i="4" s="1"/>
  <c r="AB336" i="4"/>
  <c r="T336" i="4"/>
  <c r="U336" i="4" s="1"/>
  <c r="AB335" i="4"/>
  <c r="T335" i="4"/>
  <c r="U335" i="4" s="1"/>
  <c r="AB334" i="4"/>
  <c r="T334" i="4"/>
  <c r="U334" i="4" s="1"/>
  <c r="AB333" i="4"/>
  <c r="T333" i="4"/>
  <c r="U333" i="4" s="1"/>
  <c r="AB332" i="4"/>
  <c r="T332" i="4"/>
  <c r="U332" i="4" s="1"/>
  <c r="AB331" i="4"/>
  <c r="T331" i="4"/>
  <c r="U331" i="4" s="1"/>
  <c r="AB330" i="4"/>
  <c r="T330" i="4"/>
  <c r="U330" i="4" s="1"/>
  <c r="AB329" i="4"/>
  <c r="T329" i="4"/>
  <c r="U329" i="4" s="1"/>
  <c r="AB328" i="4"/>
  <c r="T328" i="4"/>
  <c r="U328" i="4" s="1"/>
  <c r="AB327" i="4"/>
  <c r="T327" i="4"/>
  <c r="U327" i="4" s="1"/>
  <c r="AB326" i="4"/>
  <c r="T326" i="4"/>
  <c r="U326" i="4" s="1"/>
  <c r="AB325" i="4"/>
  <c r="T325" i="4"/>
  <c r="U325" i="4" s="1"/>
  <c r="AB324" i="4"/>
  <c r="T324" i="4"/>
  <c r="U324" i="4" s="1"/>
  <c r="AB323" i="4"/>
  <c r="T323" i="4"/>
  <c r="U323" i="4" s="1"/>
  <c r="AB322" i="4"/>
  <c r="T322" i="4"/>
  <c r="U322" i="4" s="1"/>
  <c r="AB321" i="4"/>
  <c r="T321" i="4"/>
  <c r="U321" i="4" s="1"/>
  <c r="AB320" i="4"/>
  <c r="T320" i="4"/>
  <c r="U320" i="4" s="1"/>
  <c r="AB319" i="4"/>
  <c r="T319" i="4"/>
  <c r="U319" i="4" s="1"/>
  <c r="AB318" i="4"/>
  <c r="T318" i="4"/>
  <c r="U318" i="4" s="1"/>
  <c r="AB317" i="4"/>
  <c r="T317" i="4"/>
  <c r="U317" i="4" s="1"/>
  <c r="AB316" i="4"/>
  <c r="T316" i="4"/>
  <c r="U316" i="4" s="1"/>
  <c r="AB315" i="4"/>
  <c r="T315" i="4"/>
  <c r="U315" i="4" s="1"/>
  <c r="AB314" i="4"/>
  <c r="T314" i="4"/>
  <c r="U314" i="4" s="1"/>
  <c r="AB313" i="4"/>
  <c r="T313" i="4"/>
  <c r="U313" i="4" s="1"/>
  <c r="AB312" i="4"/>
  <c r="T312" i="4"/>
  <c r="U312" i="4" s="1"/>
  <c r="AB311" i="4"/>
  <c r="T311" i="4"/>
  <c r="U311" i="4" s="1"/>
  <c r="AB310" i="4"/>
  <c r="T310" i="4"/>
  <c r="U310" i="4" s="1"/>
  <c r="AB309" i="4"/>
  <c r="T309" i="4"/>
  <c r="U309" i="4" s="1"/>
  <c r="AB308" i="4"/>
  <c r="T308" i="4"/>
  <c r="U308" i="4" s="1"/>
  <c r="AB307" i="4"/>
  <c r="T307" i="4"/>
  <c r="U307" i="4" s="1"/>
  <c r="AB306" i="4"/>
  <c r="T306" i="4"/>
  <c r="U306" i="4" s="1"/>
  <c r="AB305" i="4"/>
  <c r="T305" i="4"/>
  <c r="U305" i="4" s="1"/>
  <c r="AB304" i="4"/>
  <c r="T304" i="4"/>
  <c r="U304" i="4" s="1"/>
  <c r="AB303" i="4"/>
  <c r="T303" i="4"/>
  <c r="U303" i="4" s="1"/>
  <c r="AB302" i="4"/>
  <c r="T302" i="4"/>
  <c r="U302" i="4" s="1"/>
  <c r="AB301" i="4"/>
  <c r="T301" i="4"/>
  <c r="U301" i="4" s="1"/>
  <c r="AB300" i="4"/>
  <c r="T300" i="4"/>
  <c r="U300" i="4" s="1"/>
  <c r="AB299" i="4"/>
  <c r="T299" i="4"/>
  <c r="U299" i="4" s="1"/>
  <c r="AB298" i="4"/>
  <c r="T298" i="4"/>
  <c r="U298" i="4" s="1"/>
  <c r="AB297" i="4"/>
  <c r="T297" i="4"/>
  <c r="U297" i="4" s="1"/>
  <c r="AB296" i="4"/>
  <c r="T296" i="4"/>
  <c r="U296" i="4" s="1"/>
  <c r="AB295" i="4"/>
  <c r="T295" i="4"/>
  <c r="U295" i="4" s="1"/>
  <c r="AB294" i="4"/>
  <c r="T294" i="4"/>
  <c r="U294" i="4" s="1"/>
  <c r="AB293" i="4"/>
  <c r="T293" i="4"/>
  <c r="U293" i="4" s="1"/>
  <c r="AB292" i="4"/>
  <c r="T292" i="4"/>
  <c r="U292" i="4" s="1"/>
  <c r="AB291" i="4"/>
  <c r="T291" i="4"/>
  <c r="U291" i="4" s="1"/>
  <c r="AB290" i="4"/>
  <c r="T290" i="4"/>
  <c r="U290" i="4" s="1"/>
  <c r="AB289" i="4"/>
  <c r="T289" i="4"/>
  <c r="U289" i="4" s="1"/>
  <c r="AB288" i="4"/>
  <c r="T288" i="4"/>
  <c r="U288" i="4" s="1"/>
  <c r="AB287" i="4"/>
  <c r="T287" i="4"/>
  <c r="U287" i="4" s="1"/>
  <c r="AB286" i="4"/>
  <c r="T286" i="4"/>
  <c r="U286" i="4" s="1"/>
  <c r="AB285" i="4"/>
  <c r="T285" i="4"/>
  <c r="U285" i="4" s="1"/>
  <c r="AB284" i="4"/>
  <c r="T284" i="4"/>
  <c r="U284" i="4" s="1"/>
  <c r="AB283" i="4"/>
  <c r="T283" i="4"/>
  <c r="U283" i="4" s="1"/>
  <c r="AB282" i="4"/>
  <c r="T282" i="4"/>
  <c r="U282" i="4" s="1"/>
  <c r="AB281" i="4"/>
  <c r="T281" i="4"/>
  <c r="U281" i="4" s="1"/>
  <c r="AB280" i="4"/>
  <c r="T280" i="4"/>
  <c r="U280" i="4" s="1"/>
  <c r="AB279" i="4"/>
  <c r="T279" i="4"/>
  <c r="U279" i="4" s="1"/>
  <c r="AB278" i="4"/>
  <c r="T278" i="4"/>
  <c r="U278" i="4" s="1"/>
  <c r="AB277" i="4"/>
  <c r="T277" i="4"/>
  <c r="U277" i="4" s="1"/>
  <c r="AB276" i="4"/>
  <c r="T276" i="4"/>
  <c r="U276" i="4" s="1"/>
  <c r="AB275" i="4"/>
  <c r="T275" i="4"/>
  <c r="U275" i="4" s="1"/>
  <c r="AB274" i="4"/>
  <c r="T274" i="4"/>
  <c r="U274" i="4" s="1"/>
  <c r="AB273" i="4"/>
  <c r="T273" i="4"/>
  <c r="U273" i="4" s="1"/>
  <c r="AB272" i="4"/>
  <c r="T272" i="4"/>
  <c r="U272" i="4" s="1"/>
  <c r="AB271" i="4"/>
  <c r="T271" i="4"/>
  <c r="U271" i="4" s="1"/>
  <c r="AB270" i="4"/>
  <c r="T270" i="4"/>
  <c r="U270" i="4" s="1"/>
  <c r="AB269" i="4"/>
  <c r="T269" i="4"/>
  <c r="U269" i="4" s="1"/>
  <c r="AB268" i="4"/>
  <c r="T268" i="4"/>
  <c r="U268" i="4" s="1"/>
  <c r="AB267" i="4"/>
  <c r="T267" i="4"/>
  <c r="U267" i="4" s="1"/>
  <c r="AB266" i="4"/>
  <c r="T266" i="4"/>
  <c r="U266" i="4" s="1"/>
  <c r="AB265" i="4"/>
  <c r="T265" i="4"/>
  <c r="U265" i="4" s="1"/>
  <c r="AB264" i="4"/>
  <c r="T264" i="4"/>
  <c r="U264" i="4" s="1"/>
  <c r="AB263" i="4"/>
  <c r="T263" i="4"/>
  <c r="U263" i="4" s="1"/>
  <c r="AB262" i="4"/>
  <c r="T262" i="4"/>
  <c r="U262" i="4" s="1"/>
  <c r="AB261" i="4"/>
  <c r="T261" i="4"/>
  <c r="U261" i="4" s="1"/>
  <c r="AB260" i="4"/>
  <c r="T260" i="4"/>
  <c r="U260" i="4" s="1"/>
  <c r="AB259" i="4"/>
  <c r="T259" i="4"/>
  <c r="U259" i="4" s="1"/>
  <c r="AB258" i="4"/>
  <c r="T258" i="4"/>
  <c r="U258" i="4" s="1"/>
  <c r="AB257" i="4"/>
  <c r="T257" i="4"/>
  <c r="U257" i="4" s="1"/>
  <c r="AB256" i="4"/>
  <c r="T256" i="4"/>
  <c r="U256" i="4" s="1"/>
  <c r="AB255" i="4"/>
  <c r="T255" i="4"/>
  <c r="U255" i="4" s="1"/>
  <c r="AB254" i="4"/>
  <c r="T254" i="4"/>
  <c r="U254" i="4" s="1"/>
  <c r="AB253" i="4"/>
  <c r="T253" i="4"/>
  <c r="U253" i="4" s="1"/>
  <c r="AB252" i="4"/>
  <c r="T252" i="4"/>
  <c r="U252" i="4" s="1"/>
  <c r="AB251" i="4"/>
  <c r="T251" i="4"/>
  <c r="U251" i="4" s="1"/>
  <c r="AB250" i="4"/>
  <c r="T250" i="4"/>
  <c r="U250" i="4" s="1"/>
  <c r="AB249" i="4"/>
  <c r="T249" i="4"/>
  <c r="U249" i="4" s="1"/>
  <c r="AB248" i="4"/>
  <c r="T248" i="4"/>
  <c r="U248" i="4" s="1"/>
  <c r="AB247" i="4"/>
  <c r="T247" i="4"/>
  <c r="U247" i="4" s="1"/>
  <c r="AB246" i="4"/>
  <c r="T246" i="4"/>
  <c r="U246" i="4" s="1"/>
  <c r="AB245" i="4"/>
  <c r="T245" i="4"/>
  <c r="U245" i="4" s="1"/>
  <c r="AB244" i="4"/>
  <c r="T244" i="4"/>
  <c r="U244" i="4" s="1"/>
  <c r="AB243" i="4"/>
  <c r="T243" i="4"/>
  <c r="U243" i="4" s="1"/>
  <c r="AB242" i="4"/>
  <c r="T242" i="4"/>
  <c r="U242" i="4" s="1"/>
  <c r="AB241" i="4"/>
  <c r="T241" i="4"/>
  <c r="U241" i="4" s="1"/>
  <c r="AB240" i="4"/>
  <c r="T240" i="4"/>
  <c r="U240" i="4" s="1"/>
  <c r="AB239" i="4"/>
  <c r="T239" i="4"/>
  <c r="U239" i="4" s="1"/>
  <c r="AB238" i="4"/>
  <c r="T238" i="4"/>
  <c r="U238" i="4" s="1"/>
  <c r="AB237" i="4"/>
  <c r="T237" i="4"/>
  <c r="U237" i="4" s="1"/>
  <c r="AB236" i="4"/>
  <c r="T236" i="4"/>
  <c r="U236" i="4" s="1"/>
  <c r="AB235" i="4"/>
  <c r="T235" i="4"/>
  <c r="U235" i="4" s="1"/>
  <c r="AB234" i="4"/>
  <c r="T234" i="4"/>
  <c r="U234" i="4" s="1"/>
  <c r="AB233" i="4"/>
  <c r="T233" i="4"/>
  <c r="U233" i="4" s="1"/>
  <c r="AB232" i="4"/>
  <c r="T232" i="4"/>
  <c r="U232" i="4" s="1"/>
  <c r="AB231" i="4"/>
  <c r="T231" i="4"/>
  <c r="U231" i="4" s="1"/>
  <c r="AB230" i="4"/>
  <c r="T230" i="4"/>
  <c r="U230" i="4" s="1"/>
  <c r="AB229" i="4"/>
  <c r="T229" i="4"/>
  <c r="U229" i="4" s="1"/>
  <c r="AB228" i="4"/>
  <c r="T228" i="4"/>
  <c r="U228" i="4" s="1"/>
  <c r="AB227" i="4"/>
  <c r="T227" i="4"/>
  <c r="U227" i="4" s="1"/>
  <c r="AB226" i="4"/>
  <c r="T226" i="4"/>
  <c r="U226" i="4" s="1"/>
  <c r="AB225" i="4"/>
  <c r="T225" i="4"/>
  <c r="U225" i="4" s="1"/>
  <c r="AB224" i="4"/>
  <c r="T224" i="4"/>
  <c r="U224" i="4" s="1"/>
  <c r="AB223" i="4"/>
  <c r="T223" i="4"/>
  <c r="U223" i="4" s="1"/>
  <c r="AB222" i="4"/>
  <c r="T222" i="4"/>
  <c r="U222" i="4" s="1"/>
  <c r="AB221" i="4"/>
  <c r="T221" i="4"/>
  <c r="U221" i="4" s="1"/>
  <c r="AB220" i="4"/>
  <c r="T220" i="4"/>
  <c r="U220" i="4" s="1"/>
  <c r="AB219" i="4"/>
  <c r="T219" i="4"/>
  <c r="U219" i="4" s="1"/>
  <c r="AB218" i="4"/>
  <c r="T218" i="4"/>
  <c r="U218" i="4" s="1"/>
  <c r="AB217" i="4"/>
  <c r="T217" i="4"/>
  <c r="U217" i="4" s="1"/>
  <c r="AB216" i="4"/>
  <c r="T216" i="4"/>
  <c r="U216" i="4" s="1"/>
  <c r="AB215" i="4"/>
  <c r="T215" i="4"/>
  <c r="U215" i="4" s="1"/>
  <c r="AB214" i="4"/>
  <c r="T214" i="4"/>
  <c r="U214" i="4" s="1"/>
  <c r="AB213" i="4"/>
  <c r="T213" i="4"/>
  <c r="U213" i="4" s="1"/>
  <c r="AB212" i="4"/>
  <c r="T212" i="4"/>
  <c r="U212" i="4" s="1"/>
  <c r="AB211" i="4"/>
  <c r="T211" i="4"/>
  <c r="U211" i="4" s="1"/>
  <c r="AB210" i="4"/>
  <c r="T210" i="4"/>
  <c r="U210" i="4" s="1"/>
  <c r="AB209" i="4"/>
  <c r="T209" i="4"/>
  <c r="U209" i="4" s="1"/>
  <c r="AB208" i="4"/>
  <c r="T208" i="4"/>
  <c r="U208" i="4" s="1"/>
  <c r="AB207" i="4"/>
  <c r="T207" i="4"/>
  <c r="U207" i="4" s="1"/>
  <c r="AB206" i="4"/>
  <c r="T206" i="4"/>
  <c r="U206" i="4" s="1"/>
  <c r="AB205" i="4"/>
  <c r="T205" i="4"/>
  <c r="U205" i="4" s="1"/>
  <c r="AB204" i="4"/>
  <c r="T204" i="4"/>
  <c r="U204" i="4" s="1"/>
  <c r="AB203" i="4"/>
  <c r="T203" i="4"/>
  <c r="U203" i="4" s="1"/>
  <c r="AB202" i="4"/>
  <c r="T202" i="4"/>
  <c r="U202" i="4" s="1"/>
  <c r="AB201" i="4"/>
  <c r="T201" i="4"/>
  <c r="U201" i="4" s="1"/>
  <c r="AB200" i="4"/>
  <c r="T200" i="4"/>
  <c r="U200" i="4" s="1"/>
  <c r="AB199" i="4"/>
  <c r="T199" i="4"/>
  <c r="U199" i="4" s="1"/>
  <c r="AB198" i="4"/>
  <c r="T198" i="4"/>
  <c r="U198" i="4" s="1"/>
  <c r="AB197" i="4"/>
  <c r="T197" i="4"/>
  <c r="U197" i="4" s="1"/>
  <c r="AB196" i="4"/>
  <c r="T196" i="4"/>
  <c r="U196" i="4" s="1"/>
  <c r="AB195" i="4"/>
  <c r="T195" i="4"/>
  <c r="U195" i="4" s="1"/>
  <c r="AB194" i="4"/>
  <c r="T194" i="4"/>
  <c r="U194" i="4" s="1"/>
  <c r="AB193" i="4"/>
  <c r="T193" i="4"/>
  <c r="U193" i="4" s="1"/>
  <c r="AB192" i="4"/>
  <c r="T192" i="4"/>
  <c r="U192" i="4" s="1"/>
  <c r="AB191" i="4"/>
  <c r="T191" i="4"/>
  <c r="U191" i="4" s="1"/>
  <c r="AB190" i="4"/>
  <c r="T190" i="4"/>
  <c r="U190" i="4" s="1"/>
  <c r="AB189" i="4"/>
  <c r="T189" i="4"/>
  <c r="U189" i="4" s="1"/>
  <c r="AB188" i="4"/>
  <c r="T188" i="4"/>
  <c r="U188" i="4" s="1"/>
  <c r="AB187" i="4"/>
  <c r="T187" i="4"/>
  <c r="U187" i="4" s="1"/>
  <c r="AB186" i="4"/>
  <c r="T186" i="4"/>
  <c r="U186" i="4" s="1"/>
  <c r="AB185" i="4"/>
  <c r="T185" i="4"/>
  <c r="U185" i="4" s="1"/>
  <c r="AB184" i="4"/>
  <c r="T184" i="4"/>
  <c r="U184" i="4" s="1"/>
  <c r="AB183" i="4"/>
  <c r="T183" i="4"/>
  <c r="U183" i="4" s="1"/>
  <c r="AB182" i="4"/>
  <c r="T182" i="4"/>
  <c r="U182" i="4" s="1"/>
  <c r="AB181" i="4"/>
  <c r="T181" i="4"/>
  <c r="U181" i="4" s="1"/>
  <c r="AB180" i="4"/>
  <c r="T180" i="4"/>
  <c r="U180" i="4" s="1"/>
  <c r="AB179" i="4"/>
  <c r="T179" i="4"/>
  <c r="U179" i="4" s="1"/>
  <c r="AB178" i="4"/>
  <c r="T178" i="4"/>
  <c r="U178" i="4" s="1"/>
  <c r="AB177" i="4"/>
  <c r="T177" i="4"/>
  <c r="U177" i="4" s="1"/>
  <c r="AB176" i="4"/>
  <c r="T176" i="4"/>
  <c r="U176" i="4" s="1"/>
  <c r="AB175" i="4"/>
  <c r="T175" i="4"/>
  <c r="U175" i="4" s="1"/>
  <c r="AB174" i="4"/>
  <c r="T174" i="4"/>
  <c r="U174" i="4" s="1"/>
  <c r="AB173" i="4"/>
  <c r="T173" i="4"/>
  <c r="U173" i="4" s="1"/>
  <c r="AB172" i="4"/>
  <c r="T172" i="4"/>
  <c r="U172" i="4" s="1"/>
  <c r="AB171" i="4"/>
  <c r="T171" i="4"/>
  <c r="U171" i="4" s="1"/>
  <c r="AB170" i="4"/>
  <c r="T170" i="4"/>
  <c r="U170" i="4" s="1"/>
  <c r="AB169" i="4"/>
  <c r="T169" i="4"/>
  <c r="U169" i="4" s="1"/>
  <c r="AB168" i="4"/>
  <c r="T168" i="4"/>
  <c r="U168" i="4" s="1"/>
  <c r="AB167" i="4"/>
  <c r="T167" i="4"/>
  <c r="U167" i="4" s="1"/>
  <c r="AB166" i="4"/>
  <c r="T166" i="4"/>
  <c r="U166" i="4" s="1"/>
  <c r="AB165" i="4"/>
  <c r="T165" i="4"/>
  <c r="U165" i="4" s="1"/>
  <c r="AB164" i="4"/>
  <c r="T164" i="4"/>
  <c r="U164" i="4" s="1"/>
  <c r="AB163" i="4"/>
  <c r="T163" i="4"/>
  <c r="U163" i="4" s="1"/>
  <c r="AB162" i="4"/>
  <c r="T162" i="4"/>
  <c r="U162" i="4" s="1"/>
  <c r="AB161" i="4"/>
  <c r="T161" i="4"/>
  <c r="U161" i="4" s="1"/>
  <c r="AB160" i="4"/>
  <c r="T160" i="4"/>
  <c r="U160" i="4" s="1"/>
  <c r="AB159" i="4"/>
  <c r="T159" i="4"/>
  <c r="U159" i="4" s="1"/>
  <c r="AB158" i="4"/>
  <c r="T158" i="4"/>
  <c r="U158" i="4" s="1"/>
  <c r="AB157" i="4"/>
  <c r="T157" i="4"/>
  <c r="U157" i="4" s="1"/>
  <c r="AB156" i="4"/>
  <c r="T156" i="4"/>
  <c r="U156" i="4" s="1"/>
  <c r="AB155" i="4"/>
  <c r="T155" i="4"/>
  <c r="U155" i="4" s="1"/>
  <c r="AB154" i="4"/>
  <c r="T154" i="4"/>
  <c r="U154" i="4" s="1"/>
  <c r="AB153" i="4"/>
  <c r="T153" i="4"/>
  <c r="U153" i="4" s="1"/>
  <c r="AB152" i="4"/>
  <c r="T152" i="4"/>
  <c r="U152" i="4" s="1"/>
  <c r="AB151" i="4"/>
  <c r="T151" i="4"/>
  <c r="U151" i="4" s="1"/>
  <c r="AB150" i="4"/>
  <c r="T150" i="4"/>
  <c r="U150" i="4" s="1"/>
  <c r="AB149" i="4"/>
  <c r="T149" i="4"/>
  <c r="U149" i="4" s="1"/>
  <c r="AB148" i="4"/>
  <c r="T148" i="4"/>
  <c r="U148" i="4" s="1"/>
  <c r="AB147" i="4"/>
  <c r="T147" i="4"/>
  <c r="U147" i="4" s="1"/>
  <c r="AB146" i="4"/>
  <c r="T146" i="4"/>
  <c r="U146" i="4" s="1"/>
  <c r="AB145" i="4"/>
  <c r="T145" i="4"/>
  <c r="U145" i="4" s="1"/>
  <c r="AB144" i="4"/>
  <c r="T144" i="4"/>
  <c r="U144" i="4" s="1"/>
  <c r="AB143" i="4"/>
  <c r="T143" i="4"/>
  <c r="U143" i="4" s="1"/>
  <c r="AB142" i="4"/>
  <c r="T142" i="4"/>
  <c r="U142" i="4" s="1"/>
  <c r="AB141" i="4"/>
  <c r="T141" i="4"/>
  <c r="U141" i="4" s="1"/>
  <c r="AB140" i="4"/>
  <c r="T140" i="4"/>
  <c r="U140" i="4" s="1"/>
  <c r="AB139" i="4"/>
  <c r="T139" i="4"/>
  <c r="U139" i="4" s="1"/>
  <c r="AB138" i="4"/>
  <c r="T138" i="4"/>
  <c r="U138" i="4" s="1"/>
  <c r="AB137" i="4"/>
  <c r="T137" i="4"/>
  <c r="U137" i="4" s="1"/>
  <c r="AB136" i="4"/>
  <c r="T136" i="4"/>
  <c r="U136" i="4" s="1"/>
  <c r="AB135" i="4"/>
  <c r="T135" i="4"/>
  <c r="U135" i="4" s="1"/>
  <c r="AB134" i="4"/>
  <c r="T134" i="4"/>
  <c r="U134" i="4" s="1"/>
  <c r="AB133" i="4"/>
  <c r="T133" i="4"/>
  <c r="U133" i="4" s="1"/>
  <c r="AB132" i="4"/>
  <c r="T132" i="4"/>
  <c r="U132" i="4" s="1"/>
  <c r="AB131" i="4"/>
  <c r="T131" i="4"/>
  <c r="U131" i="4" s="1"/>
  <c r="AB130" i="4"/>
  <c r="T130" i="4"/>
  <c r="U130" i="4" s="1"/>
  <c r="AB129" i="4"/>
  <c r="T129" i="4"/>
  <c r="U129" i="4" s="1"/>
  <c r="AB128" i="4"/>
  <c r="T128" i="4"/>
  <c r="U128" i="4" s="1"/>
  <c r="AB127" i="4"/>
  <c r="T127" i="4"/>
  <c r="U127" i="4" s="1"/>
  <c r="AB126" i="4"/>
  <c r="T126" i="4"/>
  <c r="U126" i="4" s="1"/>
  <c r="AB125" i="4"/>
  <c r="T125" i="4"/>
  <c r="U125" i="4" s="1"/>
  <c r="AB124" i="4"/>
  <c r="T124" i="4"/>
  <c r="U124" i="4" s="1"/>
  <c r="AB123" i="4"/>
  <c r="T123" i="4"/>
  <c r="U123" i="4" s="1"/>
  <c r="AB122" i="4"/>
  <c r="T122" i="4"/>
  <c r="U122" i="4" s="1"/>
  <c r="AB121" i="4"/>
  <c r="T121" i="4"/>
  <c r="U121" i="4" s="1"/>
  <c r="AB120" i="4"/>
  <c r="T120" i="4"/>
  <c r="U120" i="4" s="1"/>
  <c r="AB119" i="4"/>
  <c r="T119" i="4"/>
  <c r="U119" i="4" s="1"/>
  <c r="AB118" i="4"/>
  <c r="T118" i="4"/>
  <c r="U118" i="4" s="1"/>
  <c r="AB117" i="4"/>
  <c r="T117" i="4"/>
  <c r="U117" i="4" s="1"/>
  <c r="AB116" i="4"/>
  <c r="T116" i="4"/>
  <c r="U116" i="4" s="1"/>
  <c r="AB115" i="4"/>
  <c r="T115" i="4"/>
  <c r="U115" i="4" s="1"/>
  <c r="AB114" i="4"/>
  <c r="T114" i="4"/>
  <c r="U114" i="4" s="1"/>
  <c r="AB113" i="4"/>
  <c r="T113" i="4"/>
  <c r="U113" i="4" s="1"/>
  <c r="AB112" i="4"/>
  <c r="T112" i="4"/>
  <c r="U112" i="4" s="1"/>
  <c r="AB111" i="4"/>
  <c r="T111" i="4"/>
  <c r="U111" i="4" s="1"/>
  <c r="AB110" i="4"/>
  <c r="T110" i="4"/>
  <c r="U110" i="4" s="1"/>
  <c r="AB109" i="4"/>
  <c r="T109" i="4"/>
  <c r="U109" i="4" s="1"/>
  <c r="AB108" i="4"/>
  <c r="T108" i="4"/>
  <c r="U108" i="4" s="1"/>
  <c r="AB107" i="4"/>
  <c r="T107" i="4"/>
  <c r="U107" i="4" s="1"/>
  <c r="AB106" i="4"/>
  <c r="T106" i="4"/>
  <c r="U106" i="4" s="1"/>
  <c r="AB105" i="4"/>
  <c r="T105" i="4"/>
  <c r="U105" i="4" s="1"/>
  <c r="AB104" i="4"/>
  <c r="T104" i="4"/>
  <c r="U104" i="4" s="1"/>
  <c r="AB103" i="4"/>
  <c r="T103" i="4"/>
  <c r="U103" i="4" s="1"/>
  <c r="AB102" i="4"/>
  <c r="T102" i="4"/>
  <c r="U102" i="4" s="1"/>
  <c r="AB101" i="4"/>
  <c r="T101" i="4"/>
  <c r="U101" i="4" s="1"/>
  <c r="AB100" i="4"/>
  <c r="T100" i="4"/>
  <c r="U100" i="4" s="1"/>
  <c r="AB99" i="4"/>
  <c r="T99" i="4"/>
  <c r="U99" i="4" s="1"/>
  <c r="AB98" i="4"/>
  <c r="T98" i="4"/>
  <c r="U98" i="4" s="1"/>
  <c r="AB97" i="4"/>
  <c r="T97" i="4"/>
  <c r="U97" i="4" s="1"/>
  <c r="AB96" i="4"/>
  <c r="T96" i="4"/>
  <c r="U96" i="4" s="1"/>
  <c r="AB95" i="4"/>
  <c r="T95" i="4"/>
  <c r="U95" i="4" s="1"/>
  <c r="AB94" i="4"/>
  <c r="T94" i="4"/>
  <c r="U94" i="4" s="1"/>
  <c r="AB93" i="4"/>
  <c r="T93" i="4"/>
  <c r="U93" i="4" s="1"/>
  <c r="AB92" i="4"/>
  <c r="T92" i="4"/>
  <c r="U92" i="4" s="1"/>
  <c r="AB91" i="4"/>
  <c r="T91" i="4"/>
  <c r="U91" i="4" s="1"/>
  <c r="AB90" i="4"/>
  <c r="T90" i="4"/>
  <c r="U90" i="4" s="1"/>
  <c r="AB89" i="4"/>
  <c r="T89" i="4"/>
  <c r="U89" i="4" s="1"/>
  <c r="AB88" i="4"/>
  <c r="T88" i="4"/>
  <c r="U88" i="4" s="1"/>
  <c r="AB87" i="4"/>
  <c r="T87" i="4"/>
  <c r="U87" i="4" s="1"/>
  <c r="AB86" i="4"/>
  <c r="T86" i="4"/>
  <c r="U86" i="4" s="1"/>
  <c r="AB85" i="4"/>
  <c r="T85" i="4"/>
  <c r="U85" i="4" s="1"/>
  <c r="AB84" i="4"/>
  <c r="T84" i="4"/>
  <c r="U84" i="4" s="1"/>
  <c r="AB83" i="4"/>
  <c r="T83" i="4"/>
  <c r="U83" i="4" s="1"/>
  <c r="AB82" i="4"/>
  <c r="T82" i="4"/>
  <c r="U82" i="4" s="1"/>
  <c r="AB81" i="4"/>
  <c r="T81" i="4"/>
  <c r="U81" i="4" s="1"/>
  <c r="T80" i="4"/>
  <c r="U80" i="4" s="1"/>
  <c r="AB79" i="4"/>
  <c r="T79" i="4"/>
  <c r="U79" i="4" s="1"/>
  <c r="AB78" i="4"/>
  <c r="T78" i="4"/>
  <c r="U78" i="4" s="1"/>
  <c r="AB77" i="4"/>
  <c r="T77" i="4"/>
  <c r="U77" i="4" s="1"/>
  <c r="AB76" i="4"/>
  <c r="T76" i="4"/>
  <c r="U76" i="4" s="1"/>
  <c r="AB75" i="4"/>
  <c r="T75" i="4"/>
  <c r="U75" i="4" s="1"/>
  <c r="AB74" i="4"/>
  <c r="T74" i="4"/>
  <c r="U74" i="4" s="1"/>
  <c r="AB73" i="4"/>
  <c r="T73" i="4"/>
  <c r="U73" i="4" s="1"/>
  <c r="AB72" i="4"/>
  <c r="T72" i="4"/>
  <c r="U72" i="4" s="1"/>
  <c r="AB71" i="4"/>
  <c r="T71" i="4"/>
  <c r="U71" i="4" s="1"/>
  <c r="AB70" i="4"/>
  <c r="T70" i="4"/>
  <c r="U70" i="4" s="1"/>
  <c r="AB69" i="4"/>
  <c r="T69" i="4"/>
  <c r="U69" i="4" s="1"/>
  <c r="AB68" i="4"/>
  <c r="T68" i="4"/>
  <c r="U68" i="4" s="1"/>
  <c r="AB67" i="4"/>
  <c r="T67" i="4"/>
  <c r="U67" i="4" s="1"/>
  <c r="AB66" i="4"/>
  <c r="T66" i="4"/>
  <c r="U66" i="4" s="1"/>
  <c r="AB65" i="4"/>
  <c r="T65" i="4"/>
  <c r="U65" i="4" s="1"/>
  <c r="AB64" i="4"/>
  <c r="T64" i="4"/>
  <c r="U64" i="4" s="1"/>
  <c r="AB63" i="4"/>
  <c r="T63" i="4"/>
  <c r="U63" i="4" s="1"/>
  <c r="AB62" i="4"/>
  <c r="T62" i="4"/>
  <c r="U62" i="4" s="1"/>
  <c r="AB61" i="4"/>
  <c r="T61" i="4"/>
  <c r="U61" i="4" s="1"/>
  <c r="B61" i="4"/>
  <c r="AB60" i="4"/>
  <c r="T60" i="4"/>
  <c r="U60" i="4" s="1"/>
  <c r="B60" i="4"/>
  <c r="AB59" i="4"/>
  <c r="T59" i="4"/>
  <c r="U59" i="4" s="1"/>
  <c r="B59" i="4"/>
  <c r="AB58" i="4"/>
  <c r="T58" i="4"/>
  <c r="U58" i="4" s="1"/>
  <c r="B58" i="4"/>
  <c r="AB57" i="4"/>
  <c r="T57" i="4"/>
  <c r="U57" i="4" s="1"/>
  <c r="B57" i="4"/>
  <c r="AB56" i="4"/>
  <c r="T56" i="4"/>
  <c r="U56" i="4" s="1"/>
  <c r="B56" i="4"/>
  <c r="AB55" i="4"/>
  <c r="T55" i="4"/>
  <c r="U55" i="4" s="1"/>
  <c r="B55" i="4"/>
  <c r="AB54" i="4"/>
  <c r="T54" i="4"/>
  <c r="U54" i="4" s="1"/>
  <c r="B54" i="4"/>
  <c r="AB53" i="4"/>
  <c r="T53" i="4"/>
  <c r="U53" i="4" s="1"/>
  <c r="B53" i="4"/>
  <c r="AB52" i="4"/>
  <c r="T52" i="4"/>
  <c r="U52" i="4" s="1"/>
  <c r="B52" i="4"/>
  <c r="AB51" i="4"/>
  <c r="T51" i="4"/>
  <c r="U51" i="4" s="1"/>
  <c r="B51" i="4"/>
  <c r="AB50" i="4"/>
  <c r="T50" i="4"/>
  <c r="U50" i="4" s="1"/>
  <c r="B50" i="4"/>
  <c r="AB49" i="4"/>
  <c r="T49" i="4"/>
  <c r="U49" i="4" s="1"/>
  <c r="B49" i="4"/>
  <c r="AB48" i="4"/>
  <c r="T48" i="4"/>
  <c r="U48" i="4" s="1"/>
  <c r="B48" i="4"/>
  <c r="C48" i="4" s="1"/>
  <c r="AB47" i="4"/>
  <c r="T47" i="4"/>
  <c r="U47" i="4" s="1"/>
  <c r="B47" i="4"/>
  <c r="C47" i="4" s="1"/>
  <c r="AB46" i="4"/>
  <c r="T46" i="4"/>
  <c r="U46" i="4" s="1"/>
  <c r="B46" i="4"/>
  <c r="C46" i="4" s="1"/>
  <c r="AB45" i="4"/>
  <c r="T45" i="4"/>
  <c r="U45" i="4" s="1"/>
  <c r="B45" i="4"/>
  <c r="C45" i="4" s="1"/>
  <c r="AB44" i="4"/>
  <c r="T44" i="4"/>
  <c r="U44" i="4" s="1"/>
  <c r="B44" i="4"/>
  <c r="C44" i="4" s="1"/>
  <c r="AB43" i="4"/>
  <c r="T43" i="4"/>
  <c r="U43" i="4" s="1"/>
  <c r="B43" i="4"/>
  <c r="C43" i="4" s="1"/>
  <c r="AB42" i="4"/>
  <c r="T42" i="4"/>
  <c r="U42" i="4" s="1"/>
  <c r="B42" i="4"/>
  <c r="C42" i="4" s="1"/>
  <c r="AB41" i="4"/>
  <c r="T41" i="4"/>
  <c r="U41" i="4" s="1"/>
  <c r="B41" i="4"/>
  <c r="C41" i="4" s="1"/>
  <c r="AB40" i="4"/>
  <c r="T40" i="4"/>
  <c r="U40" i="4" s="1"/>
  <c r="B40" i="4"/>
  <c r="C40" i="4" s="1"/>
  <c r="AB39" i="4"/>
  <c r="T39" i="4"/>
  <c r="U39" i="4" s="1"/>
  <c r="B39" i="4"/>
  <c r="C39" i="4" s="1"/>
  <c r="AB38" i="4"/>
  <c r="T38" i="4"/>
  <c r="U38" i="4" s="1"/>
  <c r="B38" i="4"/>
  <c r="C38" i="4" s="1"/>
  <c r="AB37" i="4"/>
  <c r="T37" i="4"/>
  <c r="U37" i="4" s="1"/>
  <c r="B37" i="4"/>
  <c r="C37" i="4" s="1"/>
  <c r="AB36" i="4"/>
  <c r="T36" i="4"/>
  <c r="U36" i="4" s="1"/>
  <c r="B36" i="4"/>
  <c r="C36" i="4" s="1"/>
  <c r="AB35" i="4"/>
  <c r="T35" i="4"/>
  <c r="U35" i="4" s="1"/>
  <c r="B35" i="4"/>
  <c r="C35" i="4" s="1"/>
  <c r="AB34" i="4"/>
  <c r="T34" i="4"/>
  <c r="U34" i="4" s="1"/>
  <c r="B34" i="4"/>
  <c r="C34" i="4" s="1"/>
  <c r="AB33" i="4"/>
  <c r="T33" i="4"/>
  <c r="U33" i="4" s="1"/>
  <c r="B33" i="4"/>
  <c r="C33" i="4" s="1"/>
  <c r="AB32" i="4"/>
  <c r="T32" i="4"/>
  <c r="U32" i="4" s="1"/>
  <c r="B32" i="4"/>
  <c r="C32" i="4" s="1"/>
  <c r="AB31" i="4"/>
  <c r="T31" i="4"/>
  <c r="U31" i="4" s="1"/>
  <c r="B31" i="4"/>
  <c r="C31" i="4" s="1"/>
  <c r="AB30" i="4"/>
  <c r="T30" i="4"/>
  <c r="U30" i="4" s="1"/>
  <c r="B30" i="4"/>
  <c r="C30" i="4" s="1"/>
  <c r="AD29" i="4"/>
  <c r="AB29" i="4"/>
  <c r="T29" i="4"/>
  <c r="U29" i="4" s="1"/>
  <c r="B29" i="4"/>
  <c r="C29" i="4" s="1"/>
  <c r="AD28" i="4"/>
  <c r="AB28" i="4"/>
  <c r="T28" i="4"/>
  <c r="U28" i="4" s="1"/>
  <c r="B28" i="4"/>
  <c r="C28" i="4" s="1"/>
  <c r="AD27" i="4"/>
  <c r="AB27" i="4"/>
  <c r="T27" i="4"/>
  <c r="U27" i="4" s="1"/>
  <c r="B27" i="4"/>
  <c r="C27" i="4" s="1"/>
  <c r="AD26" i="4"/>
  <c r="AB26" i="4"/>
  <c r="T26" i="4"/>
  <c r="U26" i="4" s="1"/>
  <c r="B26" i="4"/>
  <c r="C26" i="4" s="1"/>
  <c r="AD25" i="4"/>
  <c r="AB25" i="4"/>
  <c r="T25" i="4"/>
  <c r="U25" i="4" s="1"/>
  <c r="B25" i="4"/>
  <c r="C25" i="4" s="1"/>
  <c r="AD24" i="4"/>
  <c r="AB24" i="4"/>
  <c r="T24" i="4"/>
  <c r="U24" i="4" s="1"/>
  <c r="B24" i="4"/>
  <c r="C24" i="4" s="1"/>
  <c r="AD23" i="4"/>
  <c r="AB23" i="4"/>
  <c r="T23" i="4"/>
  <c r="U23" i="4" s="1"/>
  <c r="B23" i="4"/>
  <c r="C23" i="4" s="1"/>
  <c r="AD22" i="4"/>
  <c r="AB22" i="4"/>
  <c r="T22" i="4"/>
  <c r="U22" i="4" s="1"/>
  <c r="B22" i="4"/>
  <c r="C22" i="4" s="1"/>
  <c r="AD21" i="4"/>
  <c r="AB21" i="4"/>
  <c r="T21" i="4"/>
  <c r="U21" i="4" s="1"/>
  <c r="B21" i="4"/>
  <c r="C21" i="4" s="1"/>
  <c r="AD20" i="4"/>
  <c r="AB20" i="4"/>
  <c r="T20" i="4"/>
  <c r="U20" i="4" s="1"/>
  <c r="O20" i="4"/>
  <c r="B20" i="4"/>
  <c r="C20" i="4" s="1"/>
  <c r="AD19" i="4"/>
  <c r="AB19" i="4"/>
  <c r="T19" i="4"/>
  <c r="U19" i="4" s="1"/>
  <c r="O19" i="4"/>
  <c r="B19" i="4"/>
  <c r="C19" i="4" s="1"/>
  <c r="AD18" i="4"/>
  <c r="AB18" i="4"/>
  <c r="T18" i="4"/>
  <c r="U18" i="4" s="1"/>
  <c r="B18" i="4"/>
  <c r="C18" i="4" s="1"/>
  <c r="AD17" i="4"/>
  <c r="AB17" i="4"/>
  <c r="T17" i="4"/>
  <c r="U17" i="4" s="1"/>
  <c r="B17" i="4"/>
  <c r="C17" i="4" s="1"/>
  <c r="AD16" i="4"/>
  <c r="AB16" i="4"/>
  <c r="T16" i="4"/>
  <c r="U16" i="4" s="1"/>
  <c r="AD15" i="4"/>
  <c r="AB15" i="4"/>
  <c r="T15" i="4"/>
  <c r="U15" i="4" s="1"/>
  <c r="AD14" i="4"/>
  <c r="AB14" i="4"/>
  <c r="T14" i="4"/>
  <c r="U14" i="4" s="1"/>
  <c r="AD13" i="4"/>
  <c r="AB13" i="4"/>
  <c r="T13" i="4"/>
  <c r="U13" i="4" s="1"/>
  <c r="C13" i="4"/>
  <c r="AD12" i="4"/>
  <c r="AB12" i="4"/>
  <c r="T12" i="4"/>
  <c r="U12" i="4" s="1"/>
  <c r="C12" i="4"/>
  <c r="AD11" i="4"/>
  <c r="AB11" i="4"/>
  <c r="T11" i="4"/>
  <c r="U11" i="4" s="1"/>
  <c r="C11" i="4"/>
  <c r="AD10" i="4"/>
  <c r="AB10" i="4"/>
  <c r="T10" i="4"/>
  <c r="U10" i="4" s="1"/>
  <c r="C10" i="4"/>
  <c r="AD9" i="4"/>
  <c r="AB9" i="4"/>
  <c r="T9" i="4"/>
  <c r="U9" i="4" s="1"/>
  <c r="C9" i="4"/>
  <c r="AD8" i="4"/>
  <c r="AB8" i="4"/>
  <c r="T8" i="4"/>
  <c r="U8" i="4" s="1"/>
  <c r="C8" i="4"/>
  <c r="AD7" i="4"/>
  <c r="AB7" i="4"/>
  <c r="T7" i="4"/>
  <c r="U7" i="4" s="1"/>
  <c r="C7" i="4"/>
  <c r="AD6" i="4"/>
  <c r="AB6" i="4"/>
  <c r="T6" i="4"/>
  <c r="U6" i="4" s="1"/>
  <c r="O6" i="4"/>
  <c r="C6" i="4"/>
  <c r="AD5" i="4"/>
  <c r="AB5" i="4"/>
  <c r="Z5" i="4"/>
  <c r="Z6" i="4" s="1"/>
  <c r="Z7" i="4" s="1"/>
  <c r="Z8" i="4" s="1"/>
  <c r="Z9" i="4" s="1"/>
  <c r="Z10" i="4" s="1"/>
  <c r="Z11" i="4" s="1"/>
  <c r="Z12" i="4" s="1"/>
  <c r="Z13" i="4" s="1"/>
  <c r="T5" i="4"/>
  <c r="U5" i="4" s="1"/>
  <c r="O5" i="4"/>
  <c r="C5" i="4"/>
  <c r="AD4" i="4"/>
  <c r="AB4" i="4"/>
  <c r="AG2" i="4" s="1"/>
  <c r="T4" i="4"/>
  <c r="U4" i="4" s="1"/>
  <c r="O4" i="4"/>
  <c r="C4" i="4"/>
  <c r="AG3" i="4"/>
  <c r="AD3" i="4"/>
  <c r="AB3" i="4"/>
  <c r="J442" i="3"/>
  <c r="H370" i="3"/>
  <c r="H369" i="3"/>
  <c r="H368" i="3"/>
  <c r="D234" i="3"/>
  <c r="D233" i="3"/>
  <c r="D232" i="3"/>
  <c r="D231" i="3"/>
  <c r="D230" i="3"/>
  <c r="G184" i="3"/>
  <c r="G183" i="3"/>
  <c r="G182" i="3"/>
  <c r="G181" i="3"/>
  <c r="G180" i="3"/>
  <c r="G179" i="3"/>
  <c r="G143" i="3"/>
  <c r="G142" i="3"/>
  <c r="G141" i="3"/>
  <c r="D96" i="3"/>
  <c r="D74" i="3"/>
  <c r="D73" i="3"/>
  <c r="D72" i="3"/>
  <c r="D71" i="3"/>
  <c r="D70" i="3"/>
  <c r="D69" i="3"/>
  <c r="D68" i="3"/>
  <c r="D67" i="3"/>
  <c r="D11" i="3"/>
  <c r="E2" i="3"/>
  <c r="D2" i="3"/>
  <c r="E2" i="2"/>
  <c r="E1" i="2"/>
  <c r="B2" i="1" s="1"/>
  <c r="B1" i="2"/>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C6" i="1"/>
  <c r="E5" i="1"/>
  <c r="E4" i="1"/>
  <c r="C4" i="1"/>
  <c r="E3" i="1"/>
  <c r="B3" i="1"/>
  <c r="A3" i="1"/>
  <c r="E2" i="1"/>
  <c r="C1" i="1"/>
  <c r="B1" i="1"/>
  <c r="AE11" i="4" l="1"/>
  <c r="AE3" i="4"/>
  <c r="AE5" i="4"/>
  <c r="AE7" i="4"/>
  <c r="AE8" i="4"/>
  <c r="AE18" i="4"/>
  <c r="AE20" i="4"/>
  <c r="AE12" i="4"/>
  <c r="AE29" i="4"/>
  <c r="AE25" i="4"/>
  <c r="AE23" i="4"/>
  <c r="AE17" i="4"/>
  <c r="AE6" i="4"/>
  <c r="AE39" i="4"/>
  <c r="AE10" i="4"/>
  <c r="AE22" i="4"/>
  <c r="C3" i="3"/>
  <c r="B4" i="1"/>
  <c r="AE14" i="4"/>
  <c r="AE15" i="4"/>
  <c r="AE16" i="4"/>
  <c r="AE19" i="4"/>
  <c r="AE40" i="4"/>
  <c r="AE4" i="4"/>
  <c r="AE26" i="4"/>
  <c r="AE9" i="4"/>
  <c r="AE13" i="4"/>
  <c r="AE21" i="4"/>
  <c r="AE24" i="4"/>
  <c r="AE28" i="4"/>
  <c r="AE30" i="4"/>
  <c r="AE32" i="4"/>
  <c r="AE34" i="4"/>
  <c r="AE36" i="4"/>
  <c r="AE38" i="4"/>
  <c r="AE27" i="4"/>
  <c r="AE31" i="4"/>
  <c r="AE33" i="4"/>
  <c r="AE35" i="4"/>
  <c r="AE37" i="4"/>
</calcChain>
</file>

<file path=xl/sharedStrings.xml><?xml version="1.0" encoding="utf-8"?>
<sst xmlns="http://schemas.openxmlformats.org/spreadsheetml/2006/main" count="19467" uniqueCount="9623">
  <si>
    <r>
      <rPr>
        <b/>
        <sz val="10"/>
        <rFont val="Arial"/>
      </rPr>
      <t>Helpfully shared by:</t>
    </r>
    <r>
      <rPr>
        <sz val="10"/>
        <color rgb="FF000000"/>
        <rFont val="Arial"/>
      </rPr>
      <t xml:space="preserve"> Saison Capital, FutureLabs, Convergence, Trive Ventures, Tribe Accelerator, Jungle Ventures, SIG Asia, Alpha JWC Ventures, Rainmaking, Hustle Fund, Venturra Discovery, Patamar Capital, Wavemaker, Big Idea Ventures, Morph Ventures, Angel Central, KKFund, SOSV MOX, REAPRA, Openspace, B Capital, SCB 10X, ACE, Propell Asia, ReefKNoT Investments, Koru Partners ...</t>
    </r>
  </si>
  <si>
    <t>Please post with newer posts at the bottom</t>
  </si>
  <si>
    <t>Number of people:</t>
  </si>
  <si>
    <t>Jobs Posted</t>
  </si>
  <si>
    <t>Please share with friends 🙏</t>
  </si>
  <si>
    <t>Number of Companies</t>
  </si>
  <si>
    <t>Number of 'recent' companies:</t>
  </si>
  <si>
    <t>See overview in Analytics Tab</t>
  </si>
  <si>
    <t>If you are a recruiter or from a HR team and would like to use this space to post a job, please ping jengyang.chia@creditsaison-ap.com with an excel file of the data [up to 6 jobs] to be inserted into the below</t>
  </si>
  <si>
    <t>Companies hiring</t>
  </si>
  <si>
    <t>Timestamp</t>
  </si>
  <si>
    <t>Full Name (first and last)</t>
  </si>
  <si>
    <t>^If your fund has shared this document, ping Chia Jeng Yang (Saison Capital) or Simin (Futurelabs) so we can add your name here.</t>
  </si>
  <si>
    <t>Most recent title</t>
  </si>
  <si>
    <t>Most recent company</t>
  </si>
  <si>
    <t>Linkedin</t>
  </si>
  <si>
    <t>Personal email address (if open to sharing)</t>
  </si>
  <si>
    <t>Function</t>
  </si>
  <si>
    <t>Country</t>
  </si>
  <si>
    <t>Who referred you to this form? (Name and Title @ Co)</t>
  </si>
  <si>
    <t>What are you looking for next?</t>
  </si>
  <si>
    <t>Optional: Vouched for by (Name and Title)</t>
  </si>
  <si>
    <t>Optional: Vouch</t>
  </si>
  <si>
    <t>Are you willing to relocate?</t>
  </si>
  <si>
    <t>What is your Visa-requirements?</t>
  </si>
  <si>
    <t>Email Address</t>
  </si>
  <si>
    <t/>
  </si>
  <si>
    <t>Muhammad Muflih</t>
  </si>
  <si>
    <t>Web Developer</t>
  </si>
  <si>
    <t>Tokobox</t>
  </si>
  <si>
    <t>https://www.linkedin.com/in/muhammad-muflih-574b2b71/</t>
  </si>
  <si>
    <t>m_muflih@hotmail.com</t>
  </si>
  <si>
    <t>Engineering</t>
  </si>
  <si>
    <t>Indonesia</t>
  </si>
  <si>
    <t>Matthew, CEO @ Tokobox</t>
  </si>
  <si>
    <t>Full-time, open to consulting</t>
  </si>
  <si>
    <t>Jaco, CTO @ Tokobox</t>
  </si>
  <si>
    <t>PLEASE LIMIT TO 6 (SIX) POSTS PER COMPANY</t>
  </si>
  <si>
    <t>Rishi Arora</t>
  </si>
  <si>
    <t>Affliate Links:</t>
  </si>
  <si>
    <t>Country Manager</t>
  </si>
  <si>
    <t>Spoonful Meals</t>
  </si>
  <si>
    <t>http://linkedin.com/in/rishi-arora-10379a183</t>
  </si>
  <si>
    <t>Job Title</t>
  </si>
  <si>
    <t>rishiarora09@gmail.com</t>
  </si>
  <si>
    <t>Marketing, Sales, BD and Partnerships, Ops</t>
  </si>
  <si>
    <t>Singapore</t>
  </si>
  <si>
    <t>Paul Ong, Director, Innoven Capital</t>
  </si>
  <si>
    <t>Full-time</t>
  </si>
  <si>
    <t>Katie Ash</t>
  </si>
  <si>
    <t>Head of Marketing Content</t>
  </si>
  <si>
    <t>Job Description</t>
  </si>
  <si>
    <t>SaleCycle</t>
  </si>
  <si>
    <t>https://www.linkedin.com/in/katieleeash/</t>
  </si>
  <si>
    <t>What we are looking for (incl. no. years of experience if needed)</t>
  </si>
  <si>
    <t>Company Name</t>
  </si>
  <si>
    <t>Industry</t>
  </si>
  <si>
    <t>Geography</t>
  </si>
  <si>
    <t>Url link (if any)</t>
  </si>
  <si>
    <t>How to get in contact</t>
  </si>
  <si>
    <t>Function [Filled by Database and may be inaccurate]</t>
  </si>
  <si>
    <t>Date Added</t>
  </si>
  <si>
    <t>katie.ash13@gmail.com</t>
  </si>
  <si>
    <t>Marketing</t>
  </si>
  <si>
    <t>Fiona Thia, Enterprise Account Executive APAC at SEDNA Systems</t>
  </si>
  <si>
    <t>Ben Lax, Global Head of Marketing SaleCycle</t>
  </si>
  <si>
    <t>Katie is an all round marketing professional. She is hands down one of the best marketeers I have ever had the pleasure to meet, never mind work with. Her attention to detail is exceptional and this comes from the planning and strategy she applies within her process. I believe Katie could manage any localised or global marketing team. She has a deep understanding of market differentiators, allowing her to make bespoke alterations based on location, demographic and USP.</t>
  </si>
  <si>
    <t>No</t>
  </si>
  <si>
    <t>EP</t>
  </si>
  <si>
    <t>Principal Software Engineer</t>
  </si>
  <si>
    <t>Rizky Handoyo</t>
  </si>
  <si>
    <t>Head of Business Development</t>
  </si>
  <si>
    <t>MyEduSolve</t>
  </si>
  <si>
    <t>www.linkedin.com/in/rizky-handoyo-91520929</t>
  </si>
  <si>
    <t>As a Principal Software Engineer in Sesto, you will be responsible with creating and implementing software architectures to support our AMR operations. You will be leading a multi-disciplinary software team and your primary focus will be on software management and development.</t>
  </si>
  <si>
    <t>Extensive knowledge about mobile app development.</t>
  </si>
  <si>
    <t>rizky.handoyo@gmail.com</t>
  </si>
  <si>
    <t>Marketing, Sales, BD and Partnerships, Product, Ops, HR, People, Talent</t>
  </si>
  <si>
    <t xml:space="preserve">Sesto Robotics </t>
  </si>
  <si>
    <t>Advanced Manufacturing</t>
  </si>
  <si>
    <t>Stephanie Seputra, CEO at MyEduSolve</t>
  </si>
  <si>
    <t>Full-time, Consulting, Full-time, open to consulting</t>
  </si>
  <si>
    <t>Ali Zaenal Abidin, CEO at Insight Out; Edwin Djakaria, CEO of Stevlan Bridge</t>
  </si>
  <si>
    <t>Yes</t>
  </si>
  <si>
    <t>https://www.jobstreet.com.sg/en/job/principal-software-engineer-7824799</t>
  </si>
  <si>
    <t>Prasanna Pawar</t>
  </si>
  <si>
    <t>Cloud Platform Engineer</t>
  </si>
  <si>
    <t>HOOQ</t>
  </si>
  <si>
    <t>LinkedIn.com/in/prasanna-pawar</t>
  </si>
  <si>
    <t>prasanna.pawar@u.nus.edu</t>
  </si>
  <si>
    <t>Shaun Hon</t>
  </si>
  <si>
    <t>ION mudrec Director of Engineering at HOOQ</t>
  </si>
  <si>
    <t>Employment Pass</t>
  </si>
  <si>
    <t>Pooja Misra</t>
  </si>
  <si>
    <t>Product Marketing Manager</t>
  </si>
  <si>
    <t>Overview 🤓</t>
  </si>
  <si>
    <t>TradeGecko</t>
  </si>
  <si>
    <t>See overview at "Analytics" Tab</t>
  </si>
  <si>
    <t>Apply via the URL Link</t>
  </si>
  <si>
    <t>https://www.linkedin.com/in/poojamisra/</t>
  </si>
  <si>
    <r>
      <t xml:space="preserve">Unfortunately, given the changing economic climate, many startups are shutting down or having to lay-off awesome people. 
</t>
    </r>
    <r>
      <rPr>
        <b/>
        <sz val="10"/>
        <rFont val="Arial"/>
      </rPr>
      <t>Our goal is to surface awesome talent, help folks find new jobs, and help growing startups find top talent ASAP.</t>
    </r>
  </si>
  <si>
    <t>poojamisra91@gmail.com</t>
  </si>
  <si>
    <t>Marketing, Product</t>
  </si>
  <si>
    <t>Chloe Tarbet @ Google Cloud</t>
  </si>
  <si>
    <t>Full-time, Full-time, open to consulting</t>
  </si>
  <si>
    <t>Shefali Thompson, Chief of Staff @ TradeGecko</t>
  </si>
  <si>
    <t>I was particularly impressed with her high business acumen and commercial thinking, her ability to quickly gain buy-in and alignment from her stakeholders and collaborate cross-functionally to drive change and impact. She would be an asset to any employer, and I wholeheartedly recommend her for any endeavor she chooses to pursue.</t>
  </si>
  <si>
    <t>Currently living in SG on a DP, LOC-eligible, and immediately available</t>
  </si>
  <si>
    <t>Senior Product Engineer</t>
  </si>
  <si>
    <t>Andrzej Wydrychiewicz</t>
  </si>
  <si>
    <t>IT Project Director</t>
  </si>
  <si>
    <t>BeMyGuest</t>
  </si>
  <si>
    <t xml:space="preserve">As a business analyst you will be responsible for assisting the product owner create new AMR related products and services and participate throughout the full product developement lifecycle. </t>
  </si>
  <si>
    <t>https://sg.linkedin.com/in/awydrych</t>
  </si>
  <si>
    <t>Deep knowledge of iOS and Android platforms preferred</t>
  </si>
  <si>
    <t>https://www.jobstreet.com.sg/en/job/senior-product-engineer-7856113</t>
  </si>
  <si>
    <t>Are you a bootstrapped company looking for free AWS Credits? 
Ping Chia Jeng Yang at jengyang.chia@creditsaison-ap.com</t>
  </si>
  <si>
    <t>awydrych@gmail.com</t>
  </si>
  <si>
    <t>Engineering, Exec team</t>
  </si>
  <si>
    <t>Christopher Quek @ trive</t>
  </si>
  <si>
    <t>punit singh</t>
  </si>
  <si>
    <t>frontend with react and backend with node js</t>
  </si>
  <si>
    <t>Appknit</t>
  </si>
  <si>
    <t>https://www.linkedin.com/in/punit-pratap-singh-1866a3163/</t>
  </si>
  <si>
    <t xml:space="preserve">How to help </t>
  </si>
  <si>
    <t>punitpratapsingh30@gmail.com</t>
  </si>
  <si>
    <t>India</t>
  </si>
  <si>
    <t>Sumit bedi</t>
  </si>
  <si>
    <t>Gaurav sharma , tech lead</t>
  </si>
  <si>
    <t>Gaurav is my favorite because he is very deep understanding of technology.</t>
  </si>
  <si>
    <t>yes required visa</t>
  </si>
  <si>
    <t>Karim Raffa</t>
  </si>
  <si>
    <t>Director of Strategy &amp; Ventures</t>
  </si>
  <si>
    <t>Digi-BPL</t>
  </si>
  <si>
    <t>Sales</t>
  </si>
  <si>
    <t>https://www.linkedin.com/in/kraffa/</t>
  </si>
  <si>
    <t>Senior Technician / Technician</t>
  </si>
  <si>
    <t xml:space="preserve">You will be responsible for planning and achieving timely delivery for the final product parts without compromising on the quality. Your team will support the Project manager on project delivery, deployment and after sales support. </t>
  </si>
  <si>
    <t>Understanding mobile app design guidelines on each platform and being aware of their differences</t>
  </si>
  <si>
    <t>https://www.jobstreet.com.sg/en/job/senior-technician-technician-7851928</t>
  </si>
  <si>
    <t>karimraffa@gmail.com</t>
  </si>
  <si>
    <t>BD and Partnerships, Product, Exec team</t>
  </si>
  <si>
    <t>Chia Jeng Yang, Principal @ Saison Capital via Jamaur Bronner</t>
  </si>
  <si>
    <t xml:space="preserve">1. Share this spreadsheet with founders who are doing layoffs </t>
  </si>
  <si>
    <t>Jayross Lee, Director of Corporate Services</t>
  </si>
  <si>
    <t>Sarthak Jain</t>
  </si>
  <si>
    <t>Engineer, Technical Consulting (Networks)</t>
  </si>
  <si>
    <t>Cisco</t>
  </si>
  <si>
    <t>https://www.linkedin.com/in/sarthak-jain24/</t>
  </si>
  <si>
    <t>sarthak003@e.ntu.edu.sg</t>
  </si>
  <si>
    <t>BD and Partnerships, Engineering, Product</t>
  </si>
  <si>
    <t>Shajitha, BD Manager @ TSC.ai</t>
  </si>
  <si>
    <t>Wayne Poh (International Business Development) @ TSC)</t>
  </si>
  <si>
    <t>Sarthak is a passionate individual with an innovative approach towards his work. He is a keen learner and likes to assume responsibility for any task at hand.</t>
  </si>
  <si>
    <t>Student Pass</t>
  </si>
  <si>
    <t xml:space="preserve">2. Share this spreadsheet with folks with 1+ years of experience who have been laid off </t>
  </si>
  <si>
    <t>Non-sponsored feature of Wantedly:</t>
  </si>
  <si>
    <t>Ariel Casala</t>
  </si>
  <si>
    <t>Project Director, Automation Lead</t>
  </si>
  <si>
    <t>Technopals</t>
  </si>
  <si>
    <t>https://www.linkedin.com/in/ariel-casala-73301b14</t>
  </si>
  <si>
    <t>BD and Partnerships</t>
  </si>
  <si>
    <t>Business Analyst</t>
  </si>
  <si>
    <t>ariel.casala@gmail.com</t>
  </si>
  <si>
    <t>You will be responsible for assisting the product owner create new AMR related products and services and participate throughout the full product developement lifecycle</t>
  </si>
  <si>
    <t>Sales, BD and Partnerships, Product, Ops, Data and analytics, Exec team</t>
  </si>
  <si>
    <t>Experience with cross platform development like Flutter, React Native is preferred</t>
  </si>
  <si>
    <t>Saw on a linkedin post</t>
  </si>
  <si>
    <t>Christopher Landicho, AVP UOB</t>
  </si>
  <si>
    <r>
      <t>3. Share this spreadsheet with all the recruiters you know  to fill in JDs if they would like on the '</t>
    </r>
    <r>
      <rPr>
        <b/>
        <sz val="10"/>
        <rFont val="Arial"/>
      </rPr>
      <t>Companies still hiring</t>
    </r>
    <r>
      <rPr>
        <sz val="10"/>
        <color rgb="FF000000"/>
        <rFont val="Arial"/>
      </rPr>
      <t>' tab</t>
    </r>
  </si>
  <si>
    <t>Singapore Permanent Resident</t>
  </si>
  <si>
    <t>For jobseekers, sign up @ sg.wantedly.com and complete your wantedly profile to browse companies and apply to visit openings on our platform. Make sure you allow yourself to be "Scouted" so that companies that are hiring can get in touch with you!</t>
  </si>
  <si>
    <t>Madhav Gupta</t>
  </si>
  <si>
    <t>https://www.jobstreet.com.sg/en/job/business-analyst-7861297</t>
  </si>
  <si>
    <t>Intellectual Property Analyst (Telecom, 5G) / Account Manager</t>
  </si>
  <si>
    <t>Clarivate Analytics</t>
  </si>
  <si>
    <t>https://www.linkedin.com/in/guptamadhav/</t>
  </si>
  <si>
    <t>gupta.madhav@hotmail.com</t>
  </si>
  <si>
    <t>Sales, BD and Partnerships, Engineering, Ops, Data and analytics, Exec team</t>
  </si>
  <si>
    <t>The Straits Times</t>
  </si>
  <si>
    <t>LTVP</t>
  </si>
  <si>
    <t>Jay Gandhi</t>
  </si>
  <si>
    <t>Head of Digital Distribution &amp; Partnership</t>
  </si>
  <si>
    <t>Diamond Star Consulting Joint Stock Co</t>
  </si>
  <si>
    <t>https://www.linkedin.com/in/jay-gandhi-7264aa23/</t>
  </si>
  <si>
    <r>
      <t>4. Share this spreadsheet with all the hiring managers you know to fill in JDs if they would like on the '</t>
    </r>
    <r>
      <rPr>
        <b/>
        <sz val="10"/>
        <rFont val="Arial"/>
      </rPr>
      <t>Companies still hiring</t>
    </r>
    <r>
      <rPr>
        <sz val="10"/>
        <color rgb="FF000000"/>
        <rFont val="Arial"/>
      </rPr>
      <t>' tab</t>
    </r>
  </si>
  <si>
    <t>For companies, we are currently having a SGUnited 1-month package to help you set up your online presence and attract the right talent based on shared values and purpose! For a special rate of just SGD230, this includes unlimited job postings, unlimited admin accounts, Scout tickets and Boost for your job postings. Please contact hello.sg@wantedly.com with the subject "SEAcosystem" to come onboard!</t>
  </si>
  <si>
    <t>1985jay@gmail.com</t>
  </si>
  <si>
    <t>Marketing, BD and Partnerships, Product, Ops</t>
  </si>
  <si>
    <t>Vietnam</t>
  </si>
  <si>
    <t xml:space="preserve">Prakash Kirpani </t>
  </si>
  <si>
    <t xml:space="preserve">If you're a venture-backed founder or VC managing layoffs of awesome people 😔 </t>
  </si>
  <si>
    <t>Prakash Kirpani, Co-Found of Rainbow Finance Vietnam</t>
  </si>
  <si>
    <t>Jay is really appreciable on professionalism, going beyond duty to provide value to organisation. Shown a lot of enthusiasm, Sharing honest insights, persistence.</t>
  </si>
  <si>
    <t>Am currently Indian Passport Holder with 5 Years Spouse VISA in Vietnam.</t>
  </si>
  <si>
    <t>Gaurav Harchwani</t>
  </si>
  <si>
    <t>Full Stack Developer (Looking for Frontend/Full Stack roles)</t>
  </si>
  <si>
    <t>GetZave.com</t>
  </si>
  <si>
    <t>Backend Software Engineer (Algorithms)</t>
  </si>
  <si>
    <t>Work with our back-end software development team that focuses on enterprise solutions for automated guided vehicles in various operating environments. The role will involve solving challenging problems that transform robotics solutions and services and applying them to real world scenarios.</t>
  </si>
  <si>
    <t>Familiarity with RESTful APIs and mobile libraries for networking</t>
  </si>
  <si>
    <t xml:space="preserve">
1. Have your team fill out this google form &gt;&gt;&gt; 
OR Export a spreadsheet from your HR tools and email us at simin@futurelabs.vc</t>
  </si>
  <si>
    <t>https://www.jobstreet.com.sg/en/job/backend-software-engineer-algorithms-7848001</t>
  </si>
  <si>
    <t>https://www.linkedin.com/in/gauravharchwani/</t>
  </si>
  <si>
    <t>https://forms.gle/GBDo51t4C55fUgbK8</t>
  </si>
  <si>
    <t>harchwanigaurav@gmail.com</t>
  </si>
  <si>
    <t>Engineering, Product, Data and analytics, Design</t>
  </si>
  <si>
    <t>Mervin Tan, VP of engineering@Zave</t>
  </si>
  <si>
    <t>Mervin Tan (VP Engineering), Conrad Koh (Tech Lead)</t>
  </si>
  <si>
    <t>Employment Pass (EP/Currently on EP)</t>
  </si>
  <si>
    <t>Charlotte Tong</t>
  </si>
  <si>
    <t>UX Designer</t>
  </si>
  <si>
    <t>Maltem Consulting Group</t>
  </si>
  <si>
    <t>www.linkedin.com/in/charlottejudith</t>
  </si>
  <si>
    <t>Product</t>
  </si>
  <si>
    <t>Channel Partner Manager</t>
  </si>
  <si>
    <t>The Channel Partner Manager represents the entire range of company products and services to assigned partners though may focus on a specific solution or product set if focused in a partner vertical market.</t>
  </si>
  <si>
    <t>Experience with C#, JavaScript, HTML5, CSS, Angular, and Bootstrap is a plus</t>
  </si>
  <si>
    <t>https://www.jobstreet.com.sg/en/job/channel-partner-manager-7838254</t>
  </si>
  <si>
    <t>tonghuimin94@gmail.com</t>
  </si>
  <si>
    <t>Product, Design</t>
  </si>
  <si>
    <t>2. From there, we'll maintain this spreadsheet</t>
  </si>
  <si>
    <t xml:space="preserve">Saw on linkedin </t>
  </si>
  <si>
    <t>Ronen Lamdan</t>
  </si>
  <si>
    <t>Managing Director / Head of Sales</t>
  </si>
  <si>
    <t>WorkFusion</t>
  </si>
  <si>
    <t>https://www.linkedin.com/in/ronenlamdan</t>
  </si>
  <si>
    <t>Ronen.lamdan@gmail.com</t>
  </si>
  <si>
    <t>Sales, BD and Partnerships, Exec team</t>
  </si>
  <si>
    <t>Terry Goldman, Head Solution Consulting @ WorkFusion</t>
  </si>
  <si>
    <t>Terry Goldman</t>
  </si>
  <si>
    <t xml:space="preserve">Permanent resident </t>
  </si>
  <si>
    <t>Accounting</t>
  </si>
  <si>
    <t>Randito Zakky Alifsyah</t>
  </si>
  <si>
    <t>Business Development</t>
  </si>
  <si>
    <t>Associate to Lead Roles</t>
  </si>
  <si>
    <t>PT Bussr Technologies Indonesia</t>
  </si>
  <si>
    <t>www.linkedin.com/in/randito-zakky-alifsyah-3a6490196</t>
  </si>
  <si>
    <t>Business Development
Marketing
Project Management
Venture Architects
Founders</t>
  </si>
  <si>
    <t>Excellent problem solving and critical thinking skills</t>
  </si>
  <si>
    <t>zakkysyah@gmail.com</t>
  </si>
  <si>
    <t>If you're an awesome person job hunting 🚀</t>
  </si>
  <si>
    <t>BD and Partnerships, Ops</t>
  </si>
  <si>
    <t>Martin Zhuang, Senior Operations Associate @ PT Bussr Technologies Indonesia</t>
  </si>
  <si>
    <t>Martin Zhuang @ PT Bussr Technologies Indonesia</t>
  </si>
  <si>
    <t>Sharon Loh</t>
  </si>
  <si>
    <t xml:space="preserve">Corporate Development </t>
  </si>
  <si>
    <t>AUM Biosciences</t>
  </si>
  <si>
    <t>https://www.linkedin.com/in/loh-sharon/</t>
  </si>
  <si>
    <t>Corporate Innovation and Venture Building</t>
  </si>
  <si>
    <t>https://jobs.lever.co/rainmaking</t>
  </si>
  <si>
    <t>1.  Do you have more than 1 years of work experience and were you just laid off from a venture-backed startup? Fill out this form &gt;&gt;&gt;</t>
  </si>
  <si>
    <t>lohsharon27@gmail.com</t>
  </si>
  <si>
    <t>News</t>
  </si>
  <si>
    <t>2. If you've found a job (YES!) or would like to be removed from this list, email simin@futurelabs.vc</t>
  </si>
  <si>
    <t>None</t>
  </si>
  <si>
    <t>Syed Almas Azam</t>
  </si>
  <si>
    <t>Multiple Roles</t>
  </si>
  <si>
    <t>United Channels</t>
  </si>
  <si>
    <t>linkedin.com/in/almasazam</t>
  </si>
  <si>
    <t>azams.almas@gmail.com</t>
  </si>
  <si>
    <t>BD and Partnerships, Engineering, Product, Ops</t>
  </si>
  <si>
    <t>United Arab Emirates</t>
  </si>
  <si>
    <t>Tribe Accelerators</t>
  </si>
  <si>
    <t>Need a company sponsored visa</t>
  </si>
  <si>
    <t>Li Ling Yeo</t>
  </si>
  <si>
    <t>Finance</t>
  </si>
  <si>
    <t>Office Manager</t>
  </si>
  <si>
    <t>Pacific Liberty (Singapore) Pte Ltd</t>
  </si>
  <si>
    <t>https://www.linkedin.com/mwlite/in/lilingy</t>
  </si>
  <si>
    <t>Principal IoT Platform Security Architect</t>
  </si>
  <si>
    <t>This is a senior role, part of the IoT platform product team, to lead the IoT security framework, implementation, operaton and certification.</t>
  </si>
  <si>
    <t>Experience with profiling and debugging mobile applications</t>
  </si>
  <si>
    <t>Envision Digital</t>
  </si>
  <si>
    <t>IoT</t>
  </si>
  <si>
    <t>https://www.glassdoor.sg/job-listing/principal-iot-platform-security-architect-envision-group-JV_IC3235921_KO0,41_KE42,56.htm?jl=3543695426&amp;utm_medium=email&amp;utm_source=sharejob&amp;utm_campaign=sj-email&amp;utm_content=sharejob-email-sharedJob&amp;utm_term=</t>
  </si>
  <si>
    <t>If you're hiring 📈</t>
  </si>
  <si>
    <t>liling_yeo@hotmail.com</t>
  </si>
  <si>
    <t>Ops, HR, People, Talent</t>
  </si>
  <si>
    <t>Saw it through news.</t>
  </si>
  <si>
    <t>I am a Singaporean</t>
  </si>
  <si>
    <t>Arseniy Prishchepa</t>
  </si>
  <si>
    <t>Founder</t>
  </si>
  <si>
    <t>Antler</t>
  </si>
  <si>
    <t>https://www.linkedin.com/in/aprishchepa/</t>
  </si>
  <si>
    <t xml:space="preserve">1. Please check the master sheet and reach out to candidates directly via email. </t>
  </si>
  <si>
    <t>arseniy.prishchepa@gmail.com</t>
  </si>
  <si>
    <t xml:space="preserve">2. Alternatively, if you share an investor with the person's previous employer, you can reach out to your investor for a warm intro. </t>
  </si>
  <si>
    <t>Marketing, Sales, BD and Partnerships, HR, People, Talent</t>
  </si>
  <si>
    <t>Ilya Kulyatin, Founder @ NimbleSeller</t>
  </si>
  <si>
    <t>rene.tan@envision-digital.com</t>
  </si>
  <si>
    <t>EntrePass holder</t>
  </si>
  <si>
    <t>Han Phay</t>
  </si>
  <si>
    <t>Founder &amp; CEO</t>
  </si>
  <si>
    <t>Luminaire AI Pte Ltd</t>
  </si>
  <si>
    <t>www.linkedin.com/in/hanphay</t>
  </si>
  <si>
    <t>Ops</t>
  </si>
  <si>
    <t>Solutions Architect - IoT/ Smart Cities</t>
  </si>
  <si>
    <r>
      <t>3. If you are from HR/recruiting, and want to highlight a specific job post, check out the '</t>
    </r>
    <r>
      <rPr>
        <b/>
        <sz val="10"/>
        <rFont val="Arial"/>
      </rPr>
      <t>Companies still hiring</t>
    </r>
    <r>
      <rPr>
        <sz val="10"/>
        <color rgb="FF000000"/>
        <rFont val="Arial"/>
      </rPr>
      <t>' tab to post job listings. Feel free to email jengyang.chia@creditsaison-ap.com</t>
    </r>
  </si>
  <si>
    <t>Work with partners to build an EnOS-based IoT solution ; integrate internal and external resources of the company, assist partners in implementing the process integration of product introduction and launch; and increase the satisfaction of partners with the EnOS platform. More details in link</t>
  </si>
  <si>
    <t>Collaborative team player that can also take instructions and Initiative to complete tasks with little to no follow-on guidance</t>
  </si>
  <si>
    <t>han.kryptik@gmail.com</t>
  </si>
  <si>
    <t>https://www.glassdoor.sg/Job/singapore-iot-solutions-architect-jobs-SRCH_IL.0,9_IC3235921_KO10,33.htm</t>
  </si>
  <si>
    <t>Marketing, Sales, BD and Partnerships, Product, Exec team, Design</t>
  </si>
  <si>
    <t>NA</t>
  </si>
  <si>
    <t>Consulting</t>
  </si>
  <si>
    <t>James Peacock</t>
  </si>
  <si>
    <t>Head of Product</t>
  </si>
  <si>
    <t>90 Seconds</t>
  </si>
  <si>
    <t>https://www.linkedin.com/in/jameskdpeacock/</t>
  </si>
  <si>
    <t>Have ideas to help more people get paid? 😍</t>
  </si>
  <si>
    <t>james@pavo.co.uk</t>
  </si>
  <si>
    <t>Product, Exec team</t>
  </si>
  <si>
    <t>Rachel Ng, Director @ Wavemaker Partners</t>
  </si>
  <si>
    <t>Adam Goryczka, Head of Engineering @ 90 Seconds</t>
  </si>
  <si>
    <t>EP (PEP pending)</t>
  </si>
  <si>
    <t xml:space="preserve">Mirjam Nanlohy </t>
  </si>
  <si>
    <t>Intern</t>
  </si>
  <si>
    <t xml:space="preserve">The Embassy of the Republic of Indonesia </t>
  </si>
  <si>
    <t>https://www.linkedin.com/in/mirjam-nanlohy/</t>
  </si>
  <si>
    <t>Email us at:</t>
  </si>
  <si>
    <t>mirjamelyada@gmail.com</t>
  </si>
  <si>
    <t>Marketing, BD and Partnerships</t>
  </si>
  <si>
    <t xml:space="preserve">Andrew, Country Manager @Wantedly </t>
  </si>
  <si>
    <t>jengyang.chia@creditsaison-ap.com</t>
  </si>
  <si>
    <t>Student pass</t>
  </si>
  <si>
    <t>Data and Analytics</t>
  </si>
  <si>
    <t>Muhd Feroz Bin Mohd Khaili</t>
  </si>
  <si>
    <t>Sales Executive</t>
  </si>
  <si>
    <t>Tallship Adventures Pte Ltd</t>
  </si>
  <si>
    <t>https://www.linkedin.com/in/muhdferoz/</t>
  </si>
  <si>
    <t>Cloud Infrastructure Engineer</t>
  </si>
  <si>
    <t>Responsible for Envision intelligent global cloud infrastructure operation and maintenance support.
Lead the solution design and implementation of vision intelligent global cloud infrastructure.
Participate in the specification formulation and standard promotion and implementation of vision intelligent global cloud infrastructure.
It includes public clouds such as AWS, azure, alicloud, Tencent cloud, and cloud platforms such as VMware and azurestack. The service content includes virtual machine (mainly Linux), RDS, CDN and other cloud services.</t>
  </si>
  <si>
    <t>Ability to prioritize tasks to meet deadlines</t>
  </si>
  <si>
    <t>https://www.glassdoor.sg/job-listing/cloud-infrastructure-engineer-the-talent-shark-JV_IC3235921_KO0,29_KE30,46.htm?jl=3543651734</t>
  </si>
  <si>
    <t>feroz@live.com.sg</t>
  </si>
  <si>
    <t>Marketing, Sales, BD and Partnerships, Exec team</t>
  </si>
  <si>
    <t>Andrew Tan, Country Manager @ Wantedly</t>
  </si>
  <si>
    <t>Florence Lim</t>
  </si>
  <si>
    <t>Regional Business Manager</t>
  </si>
  <si>
    <t>KeyReply</t>
  </si>
  <si>
    <t>https://www.linkedin.com/in/florence-lim/</t>
  </si>
  <si>
    <t>simin@futurelabs.vc</t>
  </si>
  <si>
    <t>florencelimsw@gmail.com</t>
  </si>
  <si>
    <t>Sales, BD and Partnerships, Ops</t>
  </si>
  <si>
    <t>Andrew, Country Manager @ Wantedly</t>
  </si>
  <si>
    <t>Veri Ferdiansyah</t>
  </si>
  <si>
    <t>Lead Engineer</t>
  </si>
  <si>
    <t>Qazwa</t>
  </si>
  <si>
    <t>https://linkedin.com/in/vferdiansyah</t>
  </si>
  <si>
    <t>veri.ferdi@gmail.com</t>
  </si>
  <si>
    <t>Saw on LinkedIn feed</t>
  </si>
  <si>
    <t>Anggun, Product Manager @ Qazwa</t>
  </si>
  <si>
    <t>Saria Kume</t>
  </si>
  <si>
    <t>Business Development Manager</t>
  </si>
  <si>
    <t xml:space="preserve">Onchain Custodian </t>
  </si>
  <si>
    <t>https://sg.linkedin.com/in/skume</t>
  </si>
  <si>
    <t>Exec Team</t>
  </si>
  <si>
    <t>Learn, execute and be an integral part of fundraising for an AI-centric foodtech company;
- Project manage a bountiful pipeline of in-house scientific projects to make tasty yet healthier products a commercial reality;
- Develop cogent marketing strategies for joint-venture entities and overseas subsidiaries;</t>
  </si>
  <si>
    <t>Experience with scrum teams, to include UI/UX and QC and multiple developer collaboration (nice to have)</t>
  </si>
  <si>
    <t>Hoow Foods</t>
  </si>
  <si>
    <t>saria.kume@gmail.com</t>
  </si>
  <si>
    <t>Food Tech</t>
  </si>
  <si>
    <t>Sales, BD and Partnerships</t>
  </si>
  <si>
    <t>Ilya Kulyatin Co-Founder @ NimbleSeller</t>
  </si>
  <si>
    <t xml:space="preserve">Jessica (HR) Rohan (Head Ops) Alex l (CEO) Steve (Head BD) </t>
  </si>
  <si>
    <t>https://www.linkedin.com/posts/activity-6635577608199335936-Y43E</t>
  </si>
  <si>
    <t>Mev-Rael</t>
  </si>
  <si>
    <t>For media requests and queries contact:</t>
  </si>
  <si>
    <t>Head of Product / Product Management, UX &amp; Innovation Consultant</t>
  </si>
  <si>
    <t>Closers.com / Mev-Rael London</t>
  </si>
  <si>
    <t>https://linkedin.com/in/mevrael</t>
  </si>
  <si>
    <t xml:space="preserve">Rachael De Foe comms@rachaeldefoe.com </t>
  </si>
  <si>
    <t>mevrael@gmail.com</t>
  </si>
  <si>
    <t>Marketing, BD and Partnerships, Product, Ops, HR, People, Talent, Design</t>
  </si>
  <si>
    <t>Few VCs from LinkedIn</t>
  </si>
  <si>
    <t>At the bottom of my LinkedIn profile, i.e. recommendations</t>
  </si>
  <si>
    <t>“I like your energy and how you challenge everything, I have learned a lot from you” - Serial founder, investor in valley</t>
  </si>
  <si>
    <t>Will require any kind of visa sponsorship. For relocation I don't need any assistance, but I guess we will work remotely in most of 2020 anyways</t>
  </si>
  <si>
    <t xml:space="preserve">Jim Huang </t>
  </si>
  <si>
    <t xml:space="preserve">Director </t>
  </si>
  <si>
    <t xml:space="preserve">IWF </t>
  </si>
  <si>
    <t>http://linkedin.com/in/jim-huang-9b32952</t>
  </si>
  <si>
    <t>yaupng@hoowfoods.com</t>
  </si>
  <si>
    <t>Legal stuff</t>
  </si>
  <si>
    <t>Jhuang168@icloud.com</t>
  </si>
  <si>
    <t>BD and Partnerships, Exec team</t>
  </si>
  <si>
    <t>Thailand</t>
  </si>
  <si>
    <t xml:space="preserve">Linkedin </t>
  </si>
  <si>
    <t>Raychel Balatero</t>
  </si>
  <si>
    <t>Operations Executive</t>
  </si>
  <si>
    <t>BeMyGuest Pte. Ltd.</t>
  </si>
  <si>
    <t>https://www.linkedin.com/in/raychelbalatero</t>
  </si>
  <si>
    <t>By submitting to the above Google form, you acknowledge and agree that the information you have entered into this form will be displayed online, on a publicly accessible database, at SEAcosystem.com.
The purpose of posting this information is to highlight your profile to potential employers and startups, given the COVID situation. However, please do note that the information posted is available to anyone who may wish to access the website.
You may, at any time, request removal of your information from this website, by emailing simin@futurelabs.vc, and your information will be removed as soon as possible.</t>
  </si>
  <si>
    <t>HR, People, Talent</t>
  </si>
  <si>
    <t>Graphic designer</t>
  </si>
  <si>
    <t xml:space="preserve">Collaborate with the team to ensure consistency of designs across various media outlets
Create compelling and effective logos, designs, print and digital media
Maintain awareness of current industry and technology standards, social media, competitive landscape and market trends
</t>
  </si>
  <si>
    <t>Balateror@gmail.com</t>
  </si>
  <si>
    <t>Product, Ops</t>
  </si>
  <si>
    <t>Philippines</t>
  </si>
  <si>
    <t>Andrew Tan, Country Manager @ Wantedly Singapore</t>
  </si>
  <si>
    <t>Sherlyn Mahilum, Pricing Manager</t>
  </si>
  <si>
    <t>Jear Worrawut Worasirikamol</t>
  </si>
  <si>
    <t>Bachelor's degree in Graphic Design or related field
2-4 years of experience in graphic design
Proficient in Adobe Creative Suite
Strong communication, conceptual thinking, typography skills and design skills
Portfolio of work</t>
  </si>
  <si>
    <t>Lendela</t>
  </si>
  <si>
    <t>Newman's</t>
  </si>
  <si>
    <t>https://www.linkedin.com/in/jearworrawut/</t>
  </si>
  <si>
    <t>Health &amp; Wellness Tech</t>
  </si>
  <si>
    <t>anthony@newmans.id</t>
  </si>
  <si>
    <t>Content</t>
  </si>
  <si>
    <t>jearwws@gmail.com</t>
  </si>
  <si>
    <t>Marketing, Sales, BD and Partnerships, Accounting, Finance, Ops, Data and analytics, Exec team, HR, People, Talent</t>
  </si>
  <si>
    <t>Nima Karimi, founder &amp; CEO of Lendela</t>
  </si>
  <si>
    <t>Nima, foundere&amp;CEO of Lendela, Adiba, Country Manager (Singapore) of Lendela</t>
  </si>
  <si>
    <t xml:space="preserve">Jear is an absolutely outstanding manager and team member. He is a delight to both manage and work with. His work ethic is exceptional, often putting in more hours than anyone in the office. He is one of the most loyal and trustable employees I have ever had. He ran the Thailand operations like it was his own company. What I personally also appreciated was Jear’s empathy towards his team and colleagues, always making sure everyone is seen and happy, while never compromising on performance. </t>
  </si>
  <si>
    <t>Required VISA outside of Thailand</t>
  </si>
  <si>
    <t>Copywriter</t>
  </si>
  <si>
    <t>Carrie Liauw</t>
  </si>
  <si>
    <t>Executive Producer</t>
  </si>
  <si>
    <t xml:space="preserve">The ideal candidate is a creative team player, talented wordsmith, and grammar sleuth comfortable writing in Bahasa Indonesia and English. You will be responsible for developing marketing and communications content that will separate us from the crowd. </t>
  </si>
  <si>
    <t>INVNT</t>
  </si>
  <si>
    <t>https://www.linkedin.com/in/carrieliauw</t>
  </si>
  <si>
    <t>Bachelor's degree or equivalent experience in copywriting/advertising
3+ years' of marketing or copywriting experience
Excellent written and verbal communication skills
Highly organized with excellent attention to detail</t>
  </si>
  <si>
    <t>carrieliauw@gmail.com</t>
  </si>
  <si>
    <t>Marketing, Sales, BD and Partnerships, Ops, Exec team, HR, People, Talent</t>
  </si>
  <si>
    <t>LinkedIn</t>
  </si>
  <si>
    <t>Danial Yap, Head of Ops</t>
  </si>
  <si>
    <t>Working with Carrie was an amazing opportunity, she is visionary and inspiring and I've learned a lot from her.</t>
  </si>
  <si>
    <t>Not required</t>
  </si>
  <si>
    <t>Pavan Teja Mallojjala</t>
  </si>
  <si>
    <t>Mobile Applications Developer (iOS)</t>
  </si>
  <si>
    <t>Aptsys Technologies Pte ltd</t>
  </si>
  <si>
    <t>https://www.linkedin.com/in/pavan-teja-m-looking-fo-job-change-available-immediately-072689142/</t>
  </si>
  <si>
    <t>Project Management</t>
  </si>
  <si>
    <t>PHP Developer</t>
  </si>
  <si>
    <t>Various PHP Developer roles available at differing levels of seniority within this FinTech company.</t>
  </si>
  <si>
    <t>Minimum 3 years experience + Bachelor's Degree:
- PHP, Zend Framework, Rest API,  Postgresql,  Javascript, HTML, CSS,  XML, GIT, SVN, Maven, Jenkins
- Good knowledge of JQuery
- Experience with Angularjs is a plus
- Experience with Bootstrap is a plus</t>
  </si>
  <si>
    <t>HI Recruitment</t>
  </si>
  <si>
    <t>HR &amp; Recruitment Solutions</t>
  </si>
  <si>
    <t>Bangkok, Thailand</t>
  </si>
  <si>
    <t>tom@hi-recruitment.com</t>
  </si>
  <si>
    <t>vydhik@gmail.com</t>
  </si>
  <si>
    <t>Subhransu Behera, Principal Software Engineer @ SP Digital</t>
  </si>
  <si>
    <t>Employment Pass/ S Pass</t>
  </si>
  <si>
    <t>Jonathan Pung</t>
  </si>
  <si>
    <t>Technology Consultant</t>
  </si>
  <si>
    <t>Goodwill Advisory Services</t>
  </si>
  <si>
    <t>https://www.linkedin.com/in/jonathan-pung-25668a46/</t>
  </si>
  <si>
    <t>Full Stack JAVA Developer</t>
  </si>
  <si>
    <t>Various JAVA Developer roles available at differing levels of seniority within this FinTech company.</t>
  </si>
  <si>
    <t xml:space="preserve">Minimum 3 years experience + Bachelor's Degree:
- JAVA / J2EE, Javascript, Angular, HTML, XML, Jboss, UML, SVN, Maven, Junit
- Familiar with ESB and SOA
</t>
  </si>
  <si>
    <t>jonathanpung@gmail.com</t>
  </si>
  <si>
    <t>Engineering, Product</t>
  </si>
  <si>
    <t>linkedin</t>
  </si>
  <si>
    <t>Dr Sanjay Tolani</t>
  </si>
  <si>
    <t>Singaporean. Open to working remotely</t>
  </si>
  <si>
    <t>Cy Yambao</t>
  </si>
  <si>
    <t>Operations and Office Manager</t>
  </si>
  <si>
    <t>https://www.linkedin.com/in/cyyambao</t>
  </si>
  <si>
    <t>e-Payment Project Manager</t>
  </si>
  <si>
    <t>FinTech company seeking e-Payment Specialists:
- Analyze requirements, write specifications and plan for solutions implementation.
- Communicate with Vendors in order to benchmark and plan project implementation.
- Manage projects and organize steering committees.
- Create and maintain documentation on E-Payment systems and processes.
- Write test plan, define test scope and organize &amp; participate to the testing phase.
- Continuously upgrade knowledge on new E-Payment technologies and schemes (VISA, Mastercard).</t>
  </si>
  <si>
    <t xml:space="preserve">Minimum 2 years experience + Bachelor's Degree:
- Strong analytical mind and strong experience with E-Payment technologies.
- Understand perfectly the E-Payment concepts (acquiring, issuing, online transaction, dual message).
- Relevant experience in project management strong methodology.
- Knowledge of EMV Standards and test process.
- Strong technical skills, being able to handle the projects end to end.
- Experience with card schemes (VISA, Mastercard, Union-Pay) and certification.
</t>
  </si>
  <si>
    <t>cy.yambao@gmail.com</t>
  </si>
  <si>
    <t>Marketing, Ops</t>
  </si>
  <si>
    <t xml:space="preserve"> Andrew Tan, Country Manager at Wantedly Singapore</t>
  </si>
  <si>
    <t>Sherlyn Mahilum, Pricing Manager at BeMyGuest Pte. Ltd.</t>
  </si>
  <si>
    <t>Vikrant Sakharwade</t>
  </si>
  <si>
    <t>Program Manager</t>
  </si>
  <si>
    <t>Get My Parking</t>
  </si>
  <si>
    <t>https://www.linkedin.com/in/vikrant-sakharwade-2110/</t>
  </si>
  <si>
    <t>UI/UX</t>
  </si>
  <si>
    <t>Venture Founder</t>
  </si>
  <si>
    <t>pgim12vikrant_s@mandevian.com</t>
  </si>
  <si>
    <t>Engineering, Ops</t>
  </si>
  <si>
    <t>Chetan Chauhan</t>
  </si>
  <si>
    <t>Chetan Chauhan, BD International</t>
  </si>
  <si>
    <t>Kanupriya</t>
  </si>
  <si>
    <t>Sr.SDET(Senior Software Engineer in Test)</t>
  </si>
  <si>
    <t xml:space="preserve">Lead the development,launch and growth of a new company. </t>
  </si>
  <si>
    <t>mekari</t>
  </si>
  <si>
    <t>https://www.linkedin.com/in/kanupriyadhawan/</t>
  </si>
  <si>
    <t xml:space="preserve">Serial Entrepreneurs with a passion for building new tech enabled ventures </t>
  </si>
  <si>
    <t>www.futurelabs.vc</t>
  </si>
  <si>
    <t>kanupriya.kakkar@gmail.com</t>
  </si>
  <si>
    <t>Singapore, Indonesia , India</t>
  </si>
  <si>
    <t>founder</t>
  </si>
  <si>
    <t>Shiksha Chauhan</t>
  </si>
  <si>
    <t>It was a great experience working with Kanupriya simply because of the way she understands how things are working. She is a good listener and has very apt solutions to the problems. She has to ability to come up with intelligent ways to replicate bugs. Kanupriya is a team player and holds equal responsibility as any other team member for timely delivery of the projects.</t>
  </si>
  <si>
    <t xml:space="preserve">already have KITAS for Indonesia </t>
  </si>
  <si>
    <t>sandeep hanchanale</t>
  </si>
  <si>
    <t>Director of Growth</t>
  </si>
  <si>
    <t xml:space="preserve">Aibono </t>
  </si>
  <si>
    <t>https://www.linkedin.com/in/sandeephanchanale</t>
  </si>
  <si>
    <t>Venture Building</t>
  </si>
  <si>
    <t>sandeep.hanchanale@gmail.com</t>
  </si>
  <si>
    <t>Jakarta, Bangkok, Kuala Lumpur, Singapore</t>
  </si>
  <si>
    <t xml:space="preserve">linkedIn </t>
  </si>
  <si>
    <t>Ajay Deopurkar</t>
  </si>
  <si>
    <t>https://lnkd.in/fCig_X2</t>
  </si>
  <si>
    <t xml:space="preserve">"Sandeep has the kind of energy every team needs. During our tenure at Airtel, he always used to inspire the team with his innovative ideas &amp; the simplicity with which he would break down complex problems. A great team leader where his team would work for him &amp; deliver whatever results are sought. And he would go out of his way to help all his peers when we had any troubles. A great partner to work with. Wish him luck in all his endeavours" </t>
  </si>
  <si>
    <t>I am a resident of india and would need visa to travel</t>
  </si>
  <si>
    <t>Alam Budiansya</t>
  </si>
  <si>
    <t>Graphic Designer</t>
  </si>
  <si>
    <t>https://www.linkedin.com/in/alambudiansya/</t>
  </si>
  <si>
    <t>alambudiansya@gmail.com</t>
  </si>
  <si>
    <t>Marketing, Design</t>
  </si>
  <si>
    <t>Malaysia</t>
  </si>
  <si>
    <t>Rafinno Aulya</t>
  </si>
  <si>
    <t>Android Developer</t>
  </si>
  <si>
    <t>https://www.linkedin.com/in/rafinno-a-3795264a/</t>
  </si>
  <si>
    <t>talent@futurelabs.vc</t>
  </si>
  <si>
    <t>rafinno.aulya@gmail.com</t>
  </si>
  <si>
    <t>Billy Riantono, Engineer @ carousell</t>
  </si>
  <si>
    <t>abimanyu bimantoro</t>
  </si>
  <si>
    <t>Managing Director/Business Development Manager</t>
  </si>
  <si>
    <t>Pandit Football</t>
  </si>
  <si>
    <t>https://www.linkedin.com/in/abimanyu-bimantoro-803a4668/</t>
  </si>
  <si>
    <t>Venture Director</t>
  </si>
  <si>
    <t>abimanyu.bimantoro@gmail.com</t>
  </si>
  <si>
    <t>Marketing, Sales, BD and Partnerships</t>
  </si>
  <si>
    <t>Lead the development,launch and growth of new ventures across the fintech, proptech, healthtech, edutech, agritech, energytech &amp; tradetech sectors</t>
  </si>
  <si>
    <t>Linkedin Post</t>
  </si>
  <si>
    <t>Entrepreneurs with strategic consulting expertise &amp; connectivity</t>
  </si>
  <si>
    <t>Kurien Kalarickal</t>
  </si>
  <si>
    <t>UX designer</t>
  </si>
  <si>
    <t>GoodhoodSG</t>
  </si>
  <si>
    <t>https://www.linkedin.com/in/kuriensk/</t>
  </si>
  <si>
    <t>kuriensk@gmail.com</t>
  </si>
  <si>
    <t>Saira Rajan</t>
  </si>
  <si>
    <t>Manoj Kumar, Founder (Mysupnet)</t>
  </si>
  <si>
    <t>www.kuriensk.com</t>
  </si>
  <si>
    <t>https://lnkd.in/f-jzVDt</t>
  </si>
  <si>
    <t>Singapore PR</t>
  </si>
  <si>
    <t>Shermie Yael Soh</t>
  </si>
  <si>
    <t>Sale Support Executive</t>
  </si>
  <si>
    <t>Howlistic Life Holdings</t>
  </si>
  <si>
    <t>www.linkedin.com/in/ShermieYaelSoh</t>
  </si>
  <si>
    <t>shermiesoh@gmail.com</t>
  </si>
  <si>
    <t>Marketing, Sales, BD and Partnerships, Product, Accounting, Ops</t>
  </si>
  <si>
    <t>Miles Chew, Director of Howlistic Life Holdings</t>
  </si>
  <si>
    <t>Vasanth Raju</t>
  </si>
  <si>
    <t>Head of Platform</t>
  </si>
  <si>
    <t>Visenze</t>
  </si>
  <si>
    <t>https://www.linkedin.com/in/vasanthraju</t>
  </si>
  <si>
    <t>Venture Partners</t>
  </si>
  <si>
    <t>Lead, manage and grow our presence across sectors and regions</t>
  </si>
  <si>
    <t>Experience in driving market expansion and growing new businesses in the tech enabled space</t>
  </si>
  <si>
    <t>vasanthkumar.raju@gmail.com</t>
  </si>
  <si>
    <t>Sales, BD and Partnerships, Product, Exec team</t>
  </si>
  <si>
    <t>Chirayu</t>
  </si>
  <si>
    <t>Parin Mehta, Head of Airbnb experiences</t>
  </si>
  <si>
    <t>Singapore citizen</t>
  </si>
  <si>
    <t>Joice Gumala</t>
  </si>
  <si>
    <t>Menduca</t>
  </si>
  <si>
    <t>https://www.linkedin.com/in/joicegumala/</t>
  </si>
  <si>
    <t>joicevaniagumala@gmail.com</t>
  </si>
  <si>
    <t>Aparna Saxena, ex-VP @Lazada</t>
  </si>
  <si>
    <t>https://lnkd.in/fCY86ZJ</t>
  </si>
  <si>
    <t>Yo Matsumoto, BD @Quipper, Recruit</t>
  </si>
  <si>
    <t>Gautam Jain</t>
  </si>
  <si>
    <t>Senior Product Manager</t>
  </si>
  <si>
    <t>Shield (https://www.shield.com)</t>
  </si>
  <si>
    <t>https://www.linkedin.com/in/gautamjainn/</t>
  </si>
  <si>
    <t>gautam.jain987@gmail.com</t>
  </si>
  <si>
    <t>Engineering, Product, Data and analytics</t>
  </si>
  <si>
    <t xml:space="preserve">Chia Jeng Yang --&gt; LinkedIn </t>
  </si>
  <si>
    <t>Consulting, Full-time, open to consulting</t>
  </si>
  <si>
    <t>Satyanarayan Saini, Engineering Manager at Grab. Abdul Munim - Engineering Manager at Air Asia. Darshna Patel - Product Manager at WebMD</t>
  </si>
  <si>
    <t>Gautam was the live wire in the team. He was our bible when it comes to product knowledge. He has amazing communication and collaboration skills and is is always passionate to try out new things. ... A true leader always enables others- this was something Gautam continuously portrayed in his ways of actions.</t>
  </si>
  <si>
    <t xml:space="preserve">I will need an EP. I have an Entre Pass. </t>
  </si>
  <si>
    <t>Joy Tay</t>
  </si>
  <si>
    <t>Sales &amp; Business Development</t>
  </si>
  <si>
    <t>Eames Consulting Group</t>
  </si>
  <si>
    <t>linkedin.com/in/joytay</t>
  </si>
  <si>
    <t>Venture Associates &amp; Analysts</t>
  </si>
  <si>
    <t>Support venture founder in driving the venture using their expertise in technology, consulting &amp; research. We also support short term contracts</t>
  </si>
  <si>
    <t>Creating knowledge assets &amp; problem solving</t>
  </si>
  <si>
    <t>tpeihuan@gmail.com</t>
  </si>
  <si>
    <t>Kent Yeyang Lin, Futurelab linkedin Post</t>
  </si>
  <si>
    <t>Yes, Joanne Elizabeth Gilbert</t>
  </si>
  <si>
    <t>Joy is one of the most energetic person that I have worked with and she is not giving up all the time in the face of rejections</t>
  </si>
  <si>
    <t>Singapore Citizen</t>
  </si>
  <si>
    <t>Joel Cheng</t>
  </si>
  <si>
    <t>Head of Partnerships &amp; Growth</t>
  </si>
  <si>
    <t>Anchanto</t>
  </si>
  <si>
    <t>https://www.linkedin.com/in/joelcheng/</t>
  </si>
  <si>
    <t>jc@joelcheng.com</t>
  </si>
  <si>
    <t>https://lnkd.in/fYKJh5c</t>
  </si>
  <si>
    <t>LinkedIn via Rachael De Foe</t>
  </si>
  <si>
    <t>Flaviu Dumitrascu</t>
  </si>
  <si>
    <t>Business Developer &amp; Project Manager/ sometimes Jack of all trades</t>
  </si>
  <si>
    <t>www.FlightClaimEU.com</t>
  </si>
  <si>
    <t>https://www.linkedin.com/in/flaviu-dumitrascu-profile/</t>
  </si>
  <si>
    <t>contact@flaviudumitrascu.com</t>
  </si>
  <si>
    <t>Marketing, BD and Partnerships, Finance, Ops, Data and analytics</t>
  </si>
  <si>
    <t>Romania</t>
  </si>
  <si>
    <t>Partnership Leads</t>
  </si>
  <si>
    <t xml:space="preserve">I read about it in the news. </t>
  </si>
  <si>
    <t>Setting up strategic partnerships with innovators and startups to drive reveneues and new business</t>
  </si>
  <si>
    <t>Cees Werff</t>
  </si>
  <si>
    <t xml:space="preserve">Flaviu always thinks big and comes up with out of the box solutions. You can rely on him to find partners, to lead a project or propose a new business model. </t>
  </si>
  <si>
    <t>Business development &amp; partnership development experience within the tech enabled space</t>
  </si>
  <si>
    <t>Wong Ming Cheng Jasper</t>
  </si>
  <si>
    <t>Head of Finance</t>
  </si>
  <si>
    <t>Boxgreen Pte Ltd</t>
  </si>
  <si>
    <t>https://www.linkedin.com/in/jasper-wong-b6680a45/</t>
  </si>
  <si>
    <t>jasper.wmc87@gmail.com</t>
  </si>
  <si>
    <t>Accounting, Finance, HR, People, Talent</t>
  </si>
  <si>
    <t>Tan Chin Ping</t>
  </si>
  <si>
    <t>Walter Oh (Co-founder of Boxgreen Pte Ltd)</t>
  </si>
  <si>
    <t>Andre Teow</t>
  </si>
  <si>
    <t>Head of operations</t>
  </si>
  <si>
    <t>Rocket internet</t>
  </si>
  <si>
    <t>LinkedIn.com/in/andreteow</t>
  </si>
  <si>
    <t>https://lnkd.in/fGw9aae</t>
  </si>
  <si>
    <t>andreteow01@gmail.com</t>
  </si>
  <si>
    <t>Marketing, BD and Partnerships, Product, Ops, Data and analytics, Exec team</t>
  </si>
  <si>
    <t>Tong Ip</t>
  </si>
  <si>
    <t xml:space="preserve">Country manager </t>
  </si>
  <si>
    <t>https://www.linkedin.com/in/chitongip?originalSubdomain=hk</t>
  </si>
  <si>
    <t>Finance Manager</t>
  </si>
  <si>
    <t>Build and maintain internal accounting &amp; finance operations including treasury, financial analysis &amp; reporting</t>
  </si>
  <si>
    <t xml:space="preserve">Experience in creating &amp; managing financial systems within consulting/tech startup sector </t>
  </si>
  <si>
    <t>Tong.ip@gmail.com</t>
  </si>
  <si>
    <t>Sales, BD and Partnerships, Finance, Ops, Exec team</t>
  </si>
  <si>
    <t>https://e27.co/</t>
  </si>
  <si>
    <t>Alan Schmoll, ceo</t>
  </si>
  <si>
    <t>Veli Kattoulas, (former coo)</t>
  </si>
  <si>
    <t xml:space="preserve"> Kuala Lumpur or Singapore</t>
  </si>
  <si>
    <t>Mohineesh Yalamanchili</t>
  </si>
  <si>
    <t>https://lnkd.in/fa4P2ve</t>
  </si>
  <si>
    <t>Senior Project Manager</t>
  </si>
  <si>
    <t>Zilingo</t>
  </si>
  <si>
    <t>https://www.linkedin.com/in/mohineeshy/</t>
  </si>
  <si>
    <t>mohineeshy@gmail.com</t>
  </si>
  <si>
    <t>EP / DP</t>
  </si>
  <si>
    <t>Sandeep Raj</t>
  </si>
  <si>
    <t>Head of Sales and Marketing</t>
  </si>
  <si>
    <t>https://www.linkedin.com/in/sandeeprajr/</t>
  </si>
  <si>
    <t>sandeep.psgtech@gmail.com</t>
  </si>
  <si>
    <t>Deepa, Co-founder of flexibees</t>
  </si>
  <si>
    <t>Peter Bithos, CEO HOOQ</t>
  </si>
  <si>
    <t>Sandeep embodies the culture of hustle, agility, experimentation and failing fast, he also brings in a lot of enthusiasm which is infectious.</t>
  </si>
  <si>
    <t>Lorenzo Buiron</t>
  </si>
  <si>
    <t>Senior Business Manager</t>
  </si>
  <si>
    <t>Artefact</t>
  </si>
  <si>
    <t>https://www.linkedin.com/in/lorenzo-buiron-66890765/</t>
  </si>
  <si>
    <t>Back End Developer</t>
  </si>
  <si>
    <t>Responsible for the server-side web application logic, and to ensure system consistency and improve user experience.</t>
  </si>
  <si>
    <t>lorenzo.buiron@hotmail.fr</t>
  </si>
  <si>
    <t>Will</t>
  </si>
  <si>
    <t>Head of Display - Expedia</t>
  </si>
  <si>
    <t>Communicative, energetic and driven by challenges.</t>
  </si>
  <si>
    <t>Min. 3 Years of experiences in realted field
Required skills: Python, MySQL</t>
  </si>
  <si>
    <t>Subaish s/o Rajamanickam</t>
  </si>
  <si>
    <t>Business Partnerships Manager</t>
  </si>
  <si>
    <t>www.crowde.co</t>
  </si>
  <si>
    <t>Zeemart</t>
  </si>
  <si>
    <t>https://www.linkedin.com/in/subaish-rajamanickam/</t>
  </si>
  <si>
    <t>subaish@gmail.com</t>
  </si>
  <si>
    <t>Beena Natarajan, HR Mgnr @ Zeemart Pte Ltd</t>
  </si>
  <si>
    <t>Caleb Lye, COO @ Zeemart Pte Ltd</t>
  </si>
  <si>
    <t>N/A</t>
  </si>
  <si>
    <t>Gangesh Chawla</t>
  </si>
  <si>
    <t>Finance Transformation Director</t>
  </si>
  <si>
    <t>Deloitte</t>
  </si>
  <si>
    <t>https://www.linkedin.com/in/gangesh-chawla-cfo/</t>
  </si>
  <si>
    <t>Financial Technology</t>
  </si>
  <si>
    <t>Jakarta</t>
  </si>
  <si>
    <t>https://www.linkedin.com/jobs/view/1652645561/</t>
  </si>
  <si>
    <t>gangesh.chawla@gmail.com</t>
  </si>
  <si>
    <t>Sales, Accounting, Finance</t>
  </si>
  <si>
    <t>SPR</t>
  </si>
  <si>
    <t>Rob Munro</t>
  </si>
  <si>
    <t>Director Data &amp; Security Engineering</t>
  </si>
  <si>
    <t>Telepathy Labs</t>
  </si>
  <si>
    <t>https://www.linkedin.com/in/robertmunro/</t>
  </si>
  <si>
    <t>robmunro.sg@gmail.com</t>
  </si>
  <si>
    <t>dinda@crowde.co cc: hiring@crowde.co</t>
  </si>
  <si>
    <t>Engineering, Ops, Exec team</t>
  </si>
  <si>
    <t>Rachel Ng - Director - Community &amp; Platform at Wavemaker Partners</t>
  </si>
  <si>
    <t>Kenny Shen - Co-Founder @ Anapi</t>
  </si>
  <si>
    <t>Currently on PEP</t>
  </si>
  <si>
    <t>Kirsty Tsang</t>
  </si>
  <si>
    <t>Director, Brand &amp; Marketing</t>
  </si>
  <si>
    <t>Android App Developer</t>
  </si>
  <si>
    <t>https://www.linkedin.com/in/kirstytsang/</t>
  </si>
  <si>
    <t>1. Responsible for the company's mobile product research and development optimization and maintenance.
2. Participate in the discussion and formulation of the design and technical plan of the core system.
3. Communicate with product manager to understand requirements</t>
  </si>
  <si>
    <t>Strong native mobile application development experience with Android.
Experience of iOS development will be a bonus.
Knowing of React Native development
Good understanding of HTML, CSS, JavaScript</t>
  </si>
  <si>
    <t>www.sgcarmart.com</t>
  </si>
  <si>
    <t>kirstytsang@gmail.com</t>
  </si>
  <si>
    <t>Marketing, BD and Partnerships, Product, Design</t>
  </si>
  <si>
    <t>Adrian Chng, GoBear CEO</t>
  </si>
  <si>
    <t>Alan Schmoll, Zave Founder &amp; CEP</t>
  </si>
  <si>
    <t>I am a Singapore PR</t>
  </si>
  <si>
    <t>Kenneth Lim</t>
  </si>
  <si>
    <t>Data Management, Lead Specialist</t>
  </si>
  <si>
    <t>Schroder Investment Management (Singapore) Ltd</t>
  </si>
  <si>
    <t>https://www.linkedin.com/in/kennethlimkl/</t>
  </si>
  <si>
    <t>Media, Advertising</t>
  </si>
  <si>
    <t>https://www.jobstreet.com.sg/en/job-search/sgcm-jobs/?ojs=2</t>
  </si>
  <si>
    <t>kennethlimkl@gmail.com</t>
  </si>
  <si>
    <t>Ops, Data and analytics</t>
  </si>
  <si>
    <t>Mans Hyder, Director Asia Institutional Sales</t>
  </si>
  <si>
    <t>Shahrul Azmi</t>
  </si>
  <si>
    <t>Senior Creative (content creator)</t>
  </si>
  <si>
    <t>https://www.linkedin.com/in/azmishahrul/</t>
  </si>
  <si>
    <t>admin@shahrulazmi.com</t>
  </si>
  <si>
    <t>hongwei@sgcarmart.com</t>
  </si>
  <si>
    <t>Design</t>
  </si>
  <si>
    <t xml:space="preserve">Seow Jer Jian, Senior Marketing Executive @ Zeemart </t>
  </si>
  <si>
    <t>Keith Tan, Co-Founder, COO</t>
  </si>
  <si>
    <t>Ahmad Mohamed,</t>
  </si>
  <si>
    <t>Elton Kuah</t>
  </si>
  <si>
    <t xml:space="preserve">Entrepreneur </t>
  </si>
  <si>
    <t xml:space="preserve">Enrich social Media </t>
  </si>
  <si>
    <t>www.linkedin.com/in/eltonkuah</t>
  </si>
  <si>
    <t>Senior PHP web Developer</t>
  </si>
  <si>
    <t>Responsible for the Creation and implementation of web-based projects using PHP, JavaScript, HTML5, CSS, MySQL, JQuery etc
Website Programming &amp; Maintenance
Able to lead and guide junior developers
Knowledge of mobile App Development (iOS/Android) is a Plus!</t>
  </si>
  <si>
    <t>Minimum diploma holders or above in IT or Software Engineering
At least 3 year(s) of working experience as a full stack developer
Proficient in using of PHP, HTML, CSS, JAVASCRIPT, MYSQL
Well organised, punctual and meticulous person
Able to work effectively under fast paced environment
Experience in managing people and leading a team: this must be evidenced in past projects
Experience in cloud application development, mobile application development, developing large software systems, and/or security software development will be advantageous</t>
  </si>
  <si>
    <t>eltonkuah@gmail.com</t>
  </si>
  <si>
    <t xml:space="preserve">Saw from Facebook </t>
  </si>
  <si>
    <t>Mr Joseph, head of Financial Services and Lawrence Yeo, MD</t>
  </si>
  <si>
    <t>highly attentive, contributed to key client meeting. The 2nd feedback is Elton is resourceful in his task and strive to do best effort possible for success of the work</t>
  </si>
  <si>
    <t>Malaysian citizen</t>
  </si>
  <si>
    <t>Eugene Ong</t>
  </si>
  <si>
    <t>VP Investor Relations</t>
  </si>
  <si>
    <t>AntWorks Pte Ltd</t>
  </si>
  <si>
    <t>https://www.linkedin.com/in/eugene-ong-097a303/</t>
  </si>
  <si>
    <t>eong11@gmail.com</t>
  </si>
  <si>
    <t>Marketing, Sales, BD and Partnerships, Product, Exec team</t>
  </si>
  <si>
    <t>Techinasia</t>
  </si>
  <si>
    <t>Daniel Ghirardi, Country Head, Switzerland, Morgan Stanley</t>
  </si>
  <si>
    <t>Eugene is extremely driven and focus. He is extremely effective in business building, strategic planning and sales. He is pasionate at what he does and brings positive energy to the team.</t>
  </si>
  <si>
    <t>No visa required</t>
  </si>
  <si>
    <t>Muhammad Akhdan Shidqi</t>
  </si>
  <si>
    <t>Junior Front-end Engineer</t>
  </si>
  <si>
    <t>linkedin.com/in/akhdanbuchou/</t>
  </si>
  <si>
    <t>akhdanem@gmail.com</t>
  </si>
  <si>
    <t>Engineering, Design</t>
  </si>
  <si>
    <t>My engineer supervisor, Veri Ferdiansyah</t>
  </si>
  <si>
    <t>Heri Hakim Setiawan</t>
  </si>
  <si>
    <t>Backend</t>
  </si>
  <si>
    <t>https://www.linkedin.com/in/herihakim/</t>
  </si>
  <si>
    <t>hhakimsetiawan@gmail.com</t>
  </si>
  <si>
    <t>Veri Ferdiansyah, Lead Engineer @ Qazwa.id</t>
  </si>
  <si>
    <t>Full-time, Consulting</t>
  </si>
  <si>
    <t>Nipun Chawla</t>
  </si>
  <si>
    <t>Account Manager</t>
  </si>
  <si>
    <t>Droom International Pte. Ltd.</t>
  </si>
  <si>
    <t>https://www.linkedin.com/in/nipunchawla/</t>
  </si>
  <si>
    <t xml:space="preserve">Software engineer - Frontend </t>
  </si>
  <si>
    <t>Deliver production quality code for front-end and mobile applications using HTML, CCS, JavaScript and TypeScript. Knowledge of a front-end framework such as Angular, React or Vue is preferred. Knowledge of cross platform mobile development is a plus. Design, develop, deploy, maintain and improve with a test driven approach HeveaConnect software and visualizations. Work with business stakeholders, product owners and business analysts to analyse requirements, develop ideas and design solutions. Manage individual project priorities, deadlines and deliverables.</t>
  </si>
  <si>
    <t>Strong knowledge of one or more general purpose programming languages including but not limited to: JavaScript, TypeScript, Python, Go, C#, Java, Swift, Kotlin, C/C++. A strong understanding of object-oriented design, data structures and algorithms, UI/UX and web applications. A passion for computer programming and a deep curiosity to learn and absorb new technologies quickly. Strong communication skills to advocate your ideas in a clear and concise manner to the team.</t>
  </si>
  <si>
    <t>www.heveaconnect.com</t>
  </si>
  <si>
    <t>nipun.chawla@gmail.com</t>
  </si>
  <si>
    <t>The Strait Times</t>
  </si>
  <si>
    <t>Sandeep Aggarwal (Founder - Droom &amp; Shopclues)</t>
  </si>
  <si>
    <t>Nipun is very meticulous, detail oriented and connects deeply with people. He has a great grip on numbers and understands the higher purpose very well.</t>
  </si>
  <si>
    <t>Currently on DP, will need LOC</t>
  </si>
  <si>
    <t>Atiqah Erlina Binti Abdullah</t>
  </si>
  <si>
    <t>Project Management Coordinator</t>
  </si>
  <si>
    <t>SensorFlow</t>
  </si>
  <si>
    <t>https://www.linkedin.com/in/atiqaherlina/</t>
  </si>
  <si>
    <t>Commodities Tech</t>
  </si>
  <si>
    <t>https://www.linkedin.com/jobs/view/software-engineer-front-end-at-heveaconnect-1784053099</t>
  </si>
  <si>
    <t>atiqaherlina@gmail.com</t>
  </si>
  <si>
    <t>Sales, Engineering, Ops, Exec team</t>
  </si>
  <si>
    <t>Colleague = Qi Jie (who was also retrenched)</t>
  </si>
  <si>
    <t>Nikita Shaha</t>
  </si>
  <si>
    <t xml:space="preserve">Atiqah has excellent communication skills and her personality made it easier for her to settle in with the team. She is great at managing the vendors and customers, ensuring all requirements are met. Though she came from the construction industry, she is a fast learner and was quick to pick up on the jargons and new softwares introduced. </t>
  </si>
  <si>
    <t>Employment Visa</t>
  </si>
  <si>
    <t>Johnson Tsang</t>
  </si>
  <si>
    <t>Growth</t>
  </si>
  <si>
    <t>WeLab Virtual Bank</t>
  </si>
  <si>
    <t>https://www.linkedin.com/in/johnson-tsang-cfa-frm-51695778/</t>
  </si>
  <si>
    <t>enrico.massa@heveaconnect.com</t>
  </si>
  <si>
    <t>johnson.tsang@insead.edu</t>
  </si>
  <si>
    <t>Sales, BD and Partnerships, Product, Finance, Ops</t>
  </si>
  <si>
    <t>Shaun Hon, Venture Architect @ Rainmaking</t>
  </si>
  <si>
    <t>Yahya Fadhluloh Al Fatih</t>
  </si>
  <si>
    <t>Software Engineer, frontend with react, and backend</t>
  </si>
  <si>
    <t>Nubela</t>
  </si>
  <si>
    <t>https://www.linkedin.com/in/yahya-fadhlulloh-al-fatih-a568a455/</t>
  </si>
  <si>
    <t xml:space="preserve">Software engineer - Mobile </t>
  </si>
  <si>
    <t>Deliver production quality code for mobile applications using HTML, CCS, JavaScript, TypeScript, Java, Kotlin, Swift. Knowledge of cross platform mobile development is preferred. Knowledge of a front-end framework such as Angular, React or Vue is a plus. Design, develop, deploy, maintain and improve with a test driven approach HeveaConnect software and mobile applications. Work with business stakeholders, product owners and business analysts to analyse requirements, develop ideas and design solutions. Manage individual project priorities, deadlines and deliverables.</t>
  </si>
  <si>
    <t>yahyafalfatih@gmail.com</t>
  </si>
  <si>
    <t xml:space="preserve">Habibie Faried </t>
  </si>
  <si>
    <t>Adryan Hafizh, CEO of PT. Kolaborasi Kapitalis Indonesia</t>
  </si>
  <si>
    <t>BharathKumarraju Dasaraju</t>
  </si>
  <si>
    <t>Senior Devops Engineer</t>
  </si>
  <si>
    <t>https://www.linkedin.com/in/dasararaju/</t>
  </si>
  <si>
    <t>SIngapore</t>
  </si>
  <si>
    <t>https://www.linkedin.com/jobs/view/software-engineer-mobile-at-heveaconnect-1784052929</t>
  </si>
  <si>
    <t>bhrth.dsra1@gmail.com</t>
  </si>
  <si>
    <t>Prasanna NUS</t>
  </si>
  <si>
    <t>Employment visa sponsorship</t>
  </si>
  <si>
    <t>Hussam Makdad</t>
  </si>
  <si>
    <t>Software Engineer</t>
  </si>
  <si>
    <t>Omnilytics</t>
  </si>
  <si>
    <t>https://www.linkedin.com/in/hussam-almakdad/</t>
  </si>
  <si>
    <t>hossam.makdad@gmail.com</t>
  </si>
  <si>
    <t>Engineering, Data and analytics</t>
  </si>
  <si>
    <t>Carmen</t>
  </si>
  <si>
    <t>Mohammad, the company CTO</t>
  </si>
  <si>
    <t>I require Emplyment pass</t>
  </si>
  <si>
    <t>Prana Suryawibowo</t>
  </si>
  <si>
    <t>Consultant</t>
  </si>
  <si>
    <t>ConnectOne</t>
  </si>
  <si>
    <t>https://www.linkedin.com/in/pranalim/</t>
  </si>
  <si>
    <t>Senior Backend Engineer (more than 1 headcount)</t>
  </si>
  <si>
    <t>- Write code as part of a diverse and multi-skilled development team
- Design and architect innovative, modern architectures
- Champion a focus on software qualities such as testability, security, scalability, operability etc
- Work with state of the art technologies to solve genuine, real-world problems
- Champion good agile practices that provide a foundation for iterative product development
- Build strong relationships with product managers, designers and business team 
- Enjoy working in a diverse, dynamic, collaborative, transparent, environment where everyone's ideas and opinions are equally valued
- Demonstrate and communicate a passion for implementing highly scalable and maintainable backend services
- Share technical solutions and product ideas through design review, pair programming, code review and technological discussions</t>
  </si>
  <si>
    <t>- Hands-on development and delivery experience with a broad mix of languages and technologies
- Experience working with Agile, Lean and Continuous Delivery approaches
- Deploying your own code to production with a CI/CD pipeline 
- Working with relational databases and interacting them with ORMs 
- Experience building cloud native scalable software architectures
- API design and structure, especially in collaboration with the frontend team 
- Building software in a security-conscious way, especially keeping in mind things like the OWASP top 10 vulnerabilities 
- Strong people skills that contribute to an open and collaborative environment
- Languages / Frameworks: Python, Ruby/Rails, Go, JavaScript</t>
  </si>
  <si>
    <t>Pelago</t>
  </si>
  <si>
    <t>prana_lim@yahoo.com</t>
  </si>
  <si>
    <t>Travel Tech</t>
  </si>
  <si>
    <t>Ilman Alpha JWC</t>
  </si>
  <si>
    <t>Stephanie Vivian - CEO Special Project</t>
  </si>
  <si>
    <t>Stephanie is an awesome finance person, I've never enjoyed Finance, but she can make it so much fun and easy to understand. Her energy and dynamic in the office is so energetic and working with her inspire me to be better all the time.</t>
  </si>
  <si>
    <t>https://www.linkedin.com/company/discoverpelago/jobs/?viewAsMember=true</t>
  </si>
  <si>
    <t>Bobby Peck</t>
  </si>
  <si>
    <t>Independent Financial Advisor</t>
  </si>
  <si>
    <t>Financial Alliance Pte Ltd</t>
  </si>
  <si>
    <t>https://www.linkedin.com/in/bobbypeck</t>
  </si>
  <si>
    <t>bobbypeck@gmail.com</t>
  </si>
  <si>
    <t xml:space="preserve">Straits times </t>
  </si>
  <si>
    <t>Singaporean</t>
  </si>
  <si>
    <t>John Caro</t>
  </si>
  <si>
    <t>Digital Marketing Lead, Foods and Refreshments SEA</t>
  </si>
  <si>
    <t>Unilever</t>
  </si>
  <si>
    <t>https://sg.linkedin.com/in/digitalmarketingfoods</t>
  </si>
  <si>
    <t>natalie@pelago.com.sg</t>
  </si>
  <si>
    <t>Johncaropersonal@gmail.com</t>
  </si>
  <si>
    <t>Rudi Ramon, CEO @IO Labs</t>
  </si>
  <si>
    <t>PEP</t>
  </si>
  <si>
    <t>johncaropersonal@gmail.com</t>
  </si>
  <si>
    <t>Waqas khann</t>
  </si>
  <si>
    <t xml:space="preserve">Managing Partner </t>
  </si>
  <si>
    <t xml:space="preserve">shareVentures </t>
  </si>
  <si>
    <t>https://www.linkedin.com/in/waqas-khann-0225b633</t>
  </si>
  <si>
    <t xml:space="preserve">Head of Product </t>
  </si>
  <si>
    <t>To define the Portfolio Strategy and develop individual product roadmap of digital applications, To ensure timely delivery of portfolio performance review through user adoption metric, cost/resource utilization, To ensure the timely and quality delivery of digital product by collaborating with pod teams, To ensure new product, and existing product are constantly evaluated for better adoption and satisfaction.</t>
  </si>
  <si>
    <t xml:space="preserve">Enthsiastic Head of Product/Product Director with hands on Digital experience who has worked for start-ups and/or cutting edge tech/e-commerce  companies.  May well have set up innovation centres before.   </t>
  </si>
  <si>
    <t xml:space="preserve">Hunter One </t>
  </si>
  <si>
    <t>Digital tech</t>
  </si>
  <si>
    <t>venturecop@gmail.com</t>
  </si>
  <si>
    <t xml:space="preserve">Malaysia </t>
  </si>
  <si>
    <t xml:space="preserve">United Arab Emirates </t>
  </si>
  <si>
    <t xml:space="preserve">Chia Jeng Yang,  Principal @ Saison Capital </t>
  </si>
  <si>
    <t>jb@h1int.com</t>
  </si>
  <si>
    <t>Lincoln Teo, Executive Director @iWise Group</t>
  </si>
  <si>
    <t>Mr Lincoln is experienced and highly-regarded senior executive with more than two decades of international leadership agility in the digital transformation space spanning the consumer, corporate, SME and Government environments.</t>
  </si>
  <si>
    <t>Yes required visa</t>
  </si>
  <si>
    <t>Gaurang Patel</t>
  </si>
  <si>
    <t>iPhone Technology Lead</t>
  </si>
  <si>
    <t>Ayopop Technology India Pvt Ltd</t>
  </si>
  <si>
    <t>https://www.linkedin.com/in/gaurang-patel-0a6b9a15/</t>
  </si>
  <si>
    <t xml:space="preserve">Blockchain Developer </t>
  </si>
  <si>
    <t>gurupatel.2684@gmail.com</t>
  </si>
  <si>
    <t xml:space="preserve">Blockchain developer needed for our MNC tech client in Kuala Lumpur </t>
  </si>
  <si>
    <t>2 + years experience, . Hyperledger, Tokenless</t>
  </si>
  <si>
    <t>Chiragh kirpalani, CEO @ ayopop.id</t>
  </si>
  <si>
    <t>Work Visa</t>
  </si>
  <si>
    <t>Syatirah Safran</t>
  </si>
  <si>
    <t>Country Head, Malaysia and Singapore</t>
  </si>
  <si>
    <t>Buyandship</t>
  </si>
  <si>
    <t>https://www.linkedin.com/in/syats</t>
  </si>
  <si>
    <t xml:space="preserve">DeveOps Lead &amp; Managers </t>
  </si>
  <si>
    <t>Experinced DevOps engineers and Lead Engineers/Managers required for major tech company in KL</t>
  </si>
  <si>
    <t>syatsafran@gmail.com</t>
  </si>
  <si>
    <t>Marketing, BD and Partnerships, Finance, Ops, Data and analytics, Exec team, HR, People, Talent</t>
  </si>
  <si>
    <t xml:space="preserve">Highly experieneced in e-commerce with Node Js. .net, python, AWS and/or Azure.  </t>
  </si>
  <si>
    <t>Deepika Murthy, Product &amp; Analytic @ Viki</t>
  </si>
  <si>
    <t>Will need visa for roles outside of Malaysia</t>
  </si>
  <si>
    <t>Andri Hadinata</t>
  </si>
  <si>
    <t>Head of Marketing</t>
  </si>
  <si>
    <t>Jualo &amp; Carro</t>
  </si>
  <si>
    <t>https://www.linkedin.com/in/andriy-hadinata/</t>
  </si>
  <si>
    <t>Start Up Founder</t>
  </si>
  <si>
    <t>giovanni.andriy@gmail.com</t>
  </si>
  <si>
    <t>Marketing, BD and Partnerships, Exec team</t>
  </si>
  <si>
    <t>Adelia Anjani Putri - Strategic Communications Manager at Alpha JWC Ventures</t>
  </si>
  <si>
    <r>
      <rPr>
        <b/>
        <sz val="10"/>
        <rFont val="Arial"/>
      </rPr>
      <t>LOOKING FOR START-UP FOUNDERS ACROSS South East Asia</t>
    </r>
    <r>
      <rPr>
        <sz val="10"/>
        <color rgb="FF000000"/>
        <rFont val="Arial"/>
      </rPr>
      <t xml:space="preserve">
REAPRA is a venture builder and investment group. We partner with entrepreneurs who are dynamic, visionary, and ahead of the curve. Together, we can transform ideas into businesses, companies into drivers of thriving industries, and entrepreneurs into future leaders. Since 2015, we have invested in over 70 founders across South East Asia and Japan and we are looking for another 80 founders at idea stage with the passion towards building long term sustainable companies.</t>
    </r>
  </si>
  <si>
    <t>As a Founder, You Are:
* Either a sole founder or co-founders - we work with both.
* Scrappy (or resilient &amp; resourceful)
* Open to feedback and high willingness to learn
* Working on being a better version of yourself
* Capable of managing complex situations and markets
* Motivated by a personal mission and vision which drives your business direction
* Strives for efficient entrepreneurship. This means being capital efficient. You are thinking about using the least amount of capital to get to profitability.</t>
  </si>
  <si>
    <t>Gina Koh</t>
  </si>
  <si>
    <t>Reapra</t>
  </si>
  <si>
    <t>All</t>
  </si>
  <si>
    <t>South East Asia</t>
  </si>
  <si>
    <t>Digital Designer</t>
  </si>
  <si>
    <t>https://reapra.com/</t>
  </si>
  <si>
    <t>https://www.linkedin.com/in/gina-koh-15266b198/</t>
  </si>
  <si>
    <t>ginakoh@hotmail.com</t>
  </si>
  <si>
    <t>Mervin Tan, Engineering VP @ Zave</t>
  </si>
  <si>
    <t>Alan Schmoll, Zave Founder &amp; CEO</t>
  </si>
  <si>
    <t>Marley Serren</t>
  </si>
  <si>
    <t>Customer Service Officer</t>
  </si>
  <si>
    <t>Bank Danamon Indonesia, PT</t>
  </si>
  <si>
    <t>https://www.linkedin.com/in/marley-serren-14b45417b</t>
  </si>
  <si>
    <t>UAV Systems Engineer</t>
  </si>
  <si>
    <t xml:space="preserve">As a UAV systems developer, you will develop and maintain aspects of Garuda CoPilot. Garuda CoPilot is the brain that controls how our drones take to the skies and land safely. We need you to contribute to the development of our CoPilot to help keep it relevant and up to speed with the latest developments in drone technology.
Responsibilities
Create new and update existing API for CoPilot so that all our other applications run smoothly
Create websockets to interface with our frontend applications that pilot the drones
Design key functionalities and proof-of-concepts to present to management and the team
Working with engineering team to integrate model into production-level environment
Assist with technical documentation and give presentations about new technologies
</t>
  </si>
  <si>
    <t>Understanding of Python (DroneKit)
Understanding of/or willing to learn how the Raspberry Pi 4 works and interacts with the drones
Understanding of websocket protocols and APIs
Understanding of/or willing to learn Pixhawk Flight Controllers
Excellent communication and interpersonal skills
Able to work in a dynamic start-up environment</t>
  </si>
  <si>
    <t>Garuda Robotics</t>
  </si>
  <si>
    <t>Drones
Robotics</t>
  </si>
  <si>
    <t>https://garuda.io/job-openings/</t>
  </si>
  <si>
    <t>marleyserren@gmail.com</t>
  </si>
  <si>
    <t>Marketing, Sales, BD and Partnerships, Finance, Data and analytics, HR, People, Talent</t>
  </si>
  <si>
    <t xml:space="preserve">I saw an advertisement on social media </t>
  </si>
  <si>
    <t>Marcus Tang</t>
  </si>
  <si>
    <t>APAC Program Manager, Quote to Cash Transformation</t>
  </si>
  <si>
    <t>Refinitiv</t>
  </si>
  <si>
    <t>https://www.linkedin.com/in/marcus-tang/</t>
  </si>
  <si>
    <t>jobs@garuda.io</t>
  </si>
  <si>
    <t>tcheeweim@gmail.com</t>
  </si>
  <si>
    <t>Product, Ops, Exec team</t>
  </si>
  <si>
    <t>Straitstimes</t>
  </si>
  <si>
    <t>Joanne Bowyer, Director, Quote to Cash Transformation</t>
  </si>
  <si>
    <t>Wanted to take this opportunity to express my thanks for how you have taken on the project management mantel for our CTT LEAP Pilot Program. I've been very impressed with your program management and operational skill sets to bring the development and roll out of the RADIP (Risk Analytics Data Intelligence Platform) tool (PD DF Control) for OMS to this point. Below are a few of my observations: Coordinating and holding accountable five unique groups (1. Third Party Audit (TPA), 2. OMS, 3. PE Data Modelers, 4. Finance/Reporting, and 5. Technology). Strong program communication skills: an example was the EMS decision matrix outlining the various options with a suggested/recommended course of actions complete with rationale and justifications. Virtual Meeting Cadence: you moderate meeting very effectively with not a lot of time wasted which gives back some time to participants. Responsiveness: You definitely don't let emails get stale; like the way you respond promptly. Glad Joanne Bowyer selected you to project manager this workstream of our CTT LEAP Pilot Program.</t>
  </si>
  <si>
    <t>Julian Wu</t>
  </si>
  <si>
    <t>Client Support Manager</t>
  </si>
  <si>
    <t>GrabJobs</t>
  </si>
  <si>
    <t>https://www.linkedin.com/in/julianwuz/</t>
  </si>
  <si>
    <t>UAV Technician</t>
  </si>
  <si>
    <t xml:space="preserve">As a UAV Technician, you will be responsible for building, testing and otherwise assisting in the development activities of the Engineering Team.
Responsibilities
Build unmanned systems, sensors and related equipment
Troubleshoot existing operational equipment
Work with the R&amp;D team to improve hardware/software products and service
</t>
  </si>
  <si>
    <t>Electrical / Electronics / Mechatronics / Relevant engineering diploma or equivalent experience
Excellent interpersonal skills
Willing and able to adapt to change and operate in a dynamic and fast-paced team environment
Prior experience with any of the following would be a plus:  simple robotics, IoT, Arduino, Raspberry Pi</t>
  </si>
  <si>
    <t>julianwu.z@gmail.com</t>
  </si>
  <si>
    <t>Fiona Thia, Enterprise Sales @ Sedna</t>
  </si>
  <si>
    <t>Kandu Jiwandono</t>
  </si>
  <si>
    <t>Data Analyst</t>
  </si>
  <si>
    <t>Dokter Mobil</t>
  </si>
  <si>
    <t>https://www.linkedin.com/in/kandu-jiwandono-927317a7/</t>
  </si>
  <si>
    <t>kandu.jiwandono@gmail.com</t>
  </si>
  <si>
    <t>Data and analytics</t>
  </si>
  <si>
    <t>Adelia Putri</t>
  </si>
  <si>
    <t>Fitri Kusumaningtyas</t>
  </si>
  <si>
    <t>fitri is one of my favorite manager because she is tough and smart women.</t>
  </si>
  <si>
    <t>Kexin Leong</t>
  </si>
  <si>
    <t>Content Writer</t>
  </si>
  <si>
    <t>https://www.linkedin.com/in/kexin-leong-97559316a/</t>
  </si>
  <si>
    <t>Entrepreneur in Residence</t>
  </si>
  <si>
    <t xml:space="preserve">Do you want to sign up for a never ending job description in building the future of work and services in Southeast Asia? This is it! </t>
  </si>
  <si>
    <t>We are looking for entrepreneurial people who want autonomy + responsibility in growing our startups. People with get done attitude</t>
  </si>
  <si>
    <t>Machine Ventures</t>
  </si>
  <si>
    <t>Venture Development</t>
  </si>
  <si>
    <t>kexinleong@gmail.com</t>
  </si>
  <si>
    <t>Singapore / Philippines</t>
  </si>
  <si>
    <t>https://machine.ventures / https://MyKuya.com</t>
  </si>
  <si>
    <t>Rilla Amrullah, People &amp; Operations Manager @ Omniytics</t>
  </si>
  <si>
    <t xml:space="preserve">Amelia Teh, Head of Business Intelligence </t>
  </si>
  <si>
    <t>Ion Mudreac</t>
  </si>
  <si>
    <t>Head of Cloud Engineering, SRE and Data Engineering</t>
  </si>
  <si>
    <t>https://www.linkedin.com/in/mudrii/</t>
  </si>
  <si>
    <t>careers@machine.ventures</t>
  </si>
  <si>
    <t>mudreac@gmail.com</t>
  </si>
  <si>
    <t>Engineering, Ops, Data and analytics, Exec team</t>
  </si>
  <si>
    <t>My team mate</t>
  </si>
  <si>
    <t xml:space="preserve">Cloud Engineers  P​RASANNA​ P​AWAR,  ABIR DATTA, BHARATHKUMARRAJU DASARAJU  </t>
  </si>
  <si>
    <t>From my team, I build the best team in the tech industry and we managed to build awesome tech stack</t>
  </si>
  <si>
    <t>In Singapore on EP</t>
  </si>
  <si>
    <t>Backend Engineer</t>
  </si>
  <si>
    <t>Kenneth Tanaka</t>
  </si>
  <si>
    <t>Lingumi is building the most effective, affordable and fun way for a 2-6 year old to learn to speak English before they reach their first classroom.
We're looking for Backend Engineers to help scale our platform to reach the next 500 million young learners across the globe.</t>
  </si>
  <si>
    <t>Project Manager (iOS)</t>
  </si>
  <si>
    <t>Apple Developer Academy</t>
  </si>
  <si>
    <t>3+ years experience
Language/tech agnostic
Strong CS fundamentals</t>
  </si>
  <si>
    <t>linkedin.com/in/tanakakenneth</t>
  </si>
  <si>
    <t>Lingumi</t>
  </si>
  <si>
    <t>Education Tech</t>
  </si>
  <si>
    <t>https://lingumi.homerun.co/associate-software-engineer-backend-building-for-the-next-500m-young-learners/en</t>
  </si>
  <si>
    <t>kennethtanaka36@gmail.com</t>
  </si>
  <si>
    <t>Marketing, BD and Partnerships, Product, HR, People, Talent, Design</t>
  </si>
  <si>
    <t>Alpha JWC's Instagram</t>
  </si>
  <si>
    <t>Laura ACHACH</t>
  </si>
  <si>
    <t>Biomedical Engineer/Master in Strategy Student</t>
  </si>
  <si>
    <t>Johnson &amp; Johnson</t>
  </si>
  <si>
    <t>https://www.linkedin.com/in/laura-achach/</t>
  </si>
  <si>
    <t>laura.achach@essec.edu</t>
  </si>
  <si>
    <t>BD and Partnerships, Engineering, Finance, Data and analytics</t>
  </si>
  <si>
    <t xml:space="preserve"> Linkedin</t>
  </si>
  <si>
    <t>I have a student pass until January 2021</t>
  </si>
  <si>
    <t>Janeal Choo</t>
  </si>
  <si>
    <t>HR Manager</t>
  </si>
  <si>
    <t>ken@lingumi.com</t>
  </si>
  <si>
    <t>Parcel Perform</t>
  </si>
  <si>
    <t>https://www.linkedin.com/in/janeal-choo/</t>
  </si>
  <si>
    <t>janeal.choo@gmail.com</t>
  </si>
  <si>
    <t>Connections on LinkedIn</t>
  </si>
  <si>
    <t>Mobile (React Native) Engineer</t>
  </si>
  <si>
    <t>Available upon request</t>
  </si>
  <si>
    <t>Lingumi is building the most effective, affordable and fun way for a 2-6 year old to learn to speak English before they reach their first classroom.
We're looking for Mobile Engineers to help create a learning experience the next generation will never forget</t>
  </si>
  <si>
    <t>Singaporean Citizen</t>
  </si>
  <si>
    <t>3+ years Mobile experience
Confident in React Native
Passionate about making a mobile experience that feels amazing</t>
  </si>
  <si>
    <t>Oriza Awaladra SATIVA</t>
  </si>
  <si>
    <t>Finance, Accounting, and Tax</t>
  </si>
  <si>
    <t>PT. Sophie Bakery Indonesia</t>
  </si>
  <si>
    <t>Oriza Awaladra Sativa</t>
  </si>
  <si>
    <t>awaladrasativa@gmail.com</t>
  </si>
  <si>
    <t>Accounting, Finance</t>
  </si>
  <si>
    <t>https://lingumi.homerun.co/associate-software-engineer-mobile-building-for-the-next-500m-young-learners/en</t>
  </si>
  <si>
    <t>Ardyan</t>
  </si>
  <si>
    <t>Ardyan (Finance Supervisor)</t>
  </si>
  <si>
    <t>Oriza is one of my favorite co-worker. She is persistent in work and always has positivie thingking to face any problem.</t>
  </si>
  <si>
    <t>Amreen Rahman</t>
  </si>
  <si>
    <t>Senior Recruiter (Talent Specialist)</t>
  </si>
  <si>
    <t>Cogs Singapore</t>
  </si>
  <si>
    <t>https://www.linkedin.com/in/amreen-rahman/</t>
  </si>
  <si>
    <t>amreen.rahman@gmail.com</t>
  </si>
  <si>
    <t>Product, Exec team, HR, People, Talent, Design</t>
  </si>
  <si>
    <t>Habiba Raffa https://www.linkedin.com/in/habiba-raffa-43470127/</t>
  </si>
  <si>
    <t>https://www.linkedin.com/in/chitrangadathakore/</t>
  </si>
  <si>
    <t>Fadly Negara</t>
  </si>
  <si>
    <t>Social Media Marketing Manager</t>
  </si>
  <si>
    <t>https://www.linkedin.com/in/fadly-negara-519823b9/</t>
  </si>
  <si>
    <t xml:space="preserve">Marketing / Business Development / Partnerships Manager </t>
  </si>
  <si>
    <t xml:space="preserve">Working as part of a fast-growth healthcare access startup (www.reach52.com) to support digital marketing and user growth across Asia, as well as work with the founding team in Singapore to support new business development, partnerships and revenue generation with a range of healthcare organisations essential to our model (pharma companies, insurers/financial services, MedTech/diagnostics, NGOs and multilateral agencies) </t>
  </si>
  <si>
    <t>Experience in digital marketing, some experience of business development/partnerships. growth mindset and ability to adapt quickly to new challenges. Love of varied work and a fast pace :-)
Some knowledge of the healthcare sector is a strong advantage. Belief in social causes supported through enterprise/inclusive business models.</t>
  </si>
  <si>
    <t>tasty.gara@gmail.com</t>
  </si>
  <si>
    <t>reach52</t>
  </si>
  <si>
    <t>Marketing, Sales, BD and Partnerships, Design</t>
  </si>
  <si>
    <t xml:space="preserve">Health &amp; Wellness Tech
InsureTech / Public Health / Supply Chain </t>
  </si>
  <si>
    <t>Alpha JWC marketing group</t>
  </si>
  <si>
    <t xml:space="preserve">Singapore or Manila based, Asia-wide focus </t>
  </si>
  <si>
    <t>Perry Bram</t>
  </si>
  <si>
    <t>He can shoot brilliant ideas that able to engage with the audiences. Outside-the-box thinkers! A fiery personality and very friendly that can work well with others.</t>
  </si>
  <si>
    <t xml:space="preserve">www.reach52.com </t>
  </si>
  <si>
    <t>Work visa outside Indonesia</t>
  </si>
  <si>
    <t>Thibaut Meurgue-Guyard</t>
  </si>
  <si>
    <t>Business Unit Manager</t>
  </si>
  <si>
    <t>Wassa</t>
  </si>
  <si>
    <t>https://www.linkedin.com/in/thibaut-meurgue-guyard-03347744/</t>
  </si>
  <si>
    <t>thibautmg@gmail.com</t>
  </si>
  <si>
    <t>Sales, BD and Partnerships, HR, People, Talent</t>
  </si>
  <si>
    <t>Albin, Business development Director @ Keyrus</t>
  </si>
  <si>
    <t>operations@reach52.com</t>
  </si>
  <si>
    <t>Ragha Srilakshmi Sumithra Mounika yalamarty</t>
  </si>
  <si>
    <t>software developer intern</t>
  </si>
  <si>
    <t>land transport authority</t>
  </si>
  <si>
    <t>https://www.linkedin.com/in/sumithra-mounika-yalamarthttps://www.linkedin.com/in/sumithra-mounika-yalamarty-a7413757/y-a7413757/</t>
  </si>
  <si>
    <t xml:space="preserve">Full Stack Software Engineer/s 
Grad / Junior / Senior </t>
  </si>
  <si>
    <t xml:space="preserve">Working as part of a 10-strong tech team to deliver a range of new features in the reach52 suite of apps (support to access primary care, ordering medicines, insurance plans, supporting last-mile supply chain, integration, data dashboards, health logs, integration with external platforms such as Facebook and mWallets). Mixture of building new features, as well as a number of new ground-up builds planned. 
We build in Android (Kotlin, CouchDB) and Web (nodeJS, Angular, etc). Open to strong grads through to Senior Developers (with mentorship responsibility of our more junior team members). Full development cycle, with lots more awesome stuff to build this year! </t>
  </si>
  <si>
    <t xml:space="preserve">0-8 years experience in software development / engineering / coding
Experience with Java/Android/Kotlin, Javascript/nodeJS/Angular etc
Partner engagement and requirements management skills for senior dev hires </t>
  </si>
  <si>
    <t xml:space="preserve">Manila (or Bangalore) </t>
  </si>
  <si>
    <t>mounika.yrs@gmail.com</t>
  </si>
  <si>
    <t>Tejas manoj kumar sonchhatra</t>
  </si>
  <si>
    <t>student pass</t>
  </si>
  <si>
    <t>Si Song Tay</t>
  </si>
  <si>
    <t>Regional Strategy &amp; Planning Senior Analyst</t>
  </si>
  <si>
    <t>Lazada Group</t>
  </si>
  <si>
    <t>https://www.linkedin.com/in/sisongtay/</t>
  </si>
  <si>
    <t>tay_si_song@hotmail.com</t>
  </si>
  <si>
    <t>Jing Wei Chan, ex-colleague @ Lazada</t>
  </si>
  <si>
    <t>ADITYA RACHMAN</t>
  </si>
  <si>
    <t>Executive Officer of Risk Management</t>
  </si>
  <si>
    <t>PT. Phillip Futures</t>
  </si>
  <si>
    <t>https://www.linkedin.com/in/dityarachman/</t>
  </si>
  <si>
    <t>👩‍💻👨‍💻👩‍💻👨‍💻👩‍💻👨‍💻 Lead/Senior Product Engineer (Remote) 
- Golang, Node or Python</t>
  </si>
  <si>
    <t>dityaisditdot@gmail.com</t>
  </si>
  <si>
    <t>Marketing, Accounting, Finance, Data and analytics, HR, People, Talent</t>
  </si>
  <si>
    <t>Instagram post from @alphajwc.ventures</t>
  </si>
  <si>
    <t>Christopher Andrew</t>
  </si>
  <si>
    <t>Fresh Graduate</t>
  </si>
  <si>
    <t>Universitas Gadjah Mada</t>
  </si>
  <si>
    <t>linkedin.com/in/christopherandrew09/</t>
  </si>
  <si>
    <t>We are a consultancy company that helps high-growth companies in South East Asia to scale up their engineering teams. Our companies are across industries like finance, bio tech, insurance, governments and consumer. 
We're looking for a rock-star Backend Engineer who is experienced in Python or Golang, and AWS or GCP. Your main mission is to work with the founders, PM, designers and other engineers to create a AI-driven recruitment platform that provides the best experience for our users. You will be given the responsibilities and opportunities to make an impact to our product and businesses.
- This is a full-time, remote position
- Work very closely with the founders to iterate quickly and build an app people love using
- Design a scalable cloud-based architecture 
- Work closely with Product, Design and Engineering to build the features according to specs</t>
  </si>
  <si>
    <t>- Great written and spoken English 
- Expertise in backend development in Python/Node/Golang
- Experience in architecting microservices on the cloud and choosing technologies that enable scalable, distributed systems 
- Experience in Cloud platforms (GCP/AWS), Docker, Kubernetes and CI/CD
- Familiarity with various data stores (e.g. NoSQL, Redis, etc)</t>
  </si>
  <si>
    <t>Armillary / Skilledd.com</t>
  </si>
  <si>
    <t>Talent Development &amp; Tech Consulting</t>
  </si>
  <si>
    <t>Singapore, Indonesia, Malaysia, Philippines, Vietnam</t>
  </si>
  <si>
    <t>gcandrewt@gmail.com</t>
  </si>
  <si>
    <t>Armillary.io</t>
  </si>
  <si>
    <t>Berthin Saragih, Incoming counsultant at BCG</t>
  </si>
  <si>
    <t>Drishti Mulani</t>
  </si>
  <si>
    <t>Regional PR &amp; Communications Manager</t>
  </si>
  <si>
    <t>www.linkedin.com/in/dmulani</t>
  </si>
  <si>
    <t>drishti.mulani@gmail.com</t>
  </si>
  <si>
    <t>talents@armillary.io / jeff@armillary.io</t>
  </si>
  <si>
    <t>Straits Times</t>
  </si>
  <si>
    <t>Vinodini Elanggovan</t>
  </si>
  <si>
    <t>Become - Rocket Internet</t>
  </si>
  <si>
    <t>https://www.linkedin.com/in/vinodini-elanggovan-a94013121/</t>
  </si>
  <si>
    <t>Senior/Mid Backend Engineer (Remote) -  Java or Rails</t>
  </si>
  <si>
    <t>As a global leader in AI and automation, it has proprietary AI techniques including Natural Language Processing to help organizations across financial services, insurance and government sectors with automating tasks and making operations more efficient
- Develop algorithms, data models and build products and solutions based on state-of-the-art AI technology
- Create innovative, marketable products using research in fields of NLP, Semantics and Machine Learning
- Design architecture and behaviour of software modules and use industry Agile standards to perform analysis, estimation, implementation, testing and deployment of applications
- Ensure technical quality through best practices like TDD, Code Review, CI
- Bring ideas to the table to improve our technology and product. Work and be involved in key decisions in Engineering, Product and Delivery teams
- Take leadership in driving projects or product features while working in autonomous, cross-functional squads, taking ownership of development activities and knowledge sharing. 
- Mentor and guide junior developers and provide technical expertise</t>
  </si>
  <si>
    <t>- Great written and spoken English proficiency
- Strong, proven experience in Java EE, OOP and Design Patterns
- Familiarity with common architecture patterns such as MVC, ETL, SOA, and Microservices
- Strong expertise in various SQL databases, architecture patterns (MVC, ETL, SOA, Microservices) and software best practices (TDD, CI/CD)
- Knowledge in Agile or XP methodologies</t>
  </si>
  <si>
    <t>vinodini.govan@gmail.com</t>
  </si>
  <si>
    <t>CFO of Become</t>
  </si>
  <si>
    <t>AI / FinTech / Insurtech / Govtech / Health-tech</t>
  </si>
  <si>
    <t>Suren Nathan-Growth &amp; Partnership, Jamilah CMO</t>
  </si>
  <si>
    <t>My strengths, I am a people-oriented, attention to details &amp; meticulous record-keeping skills. Besides, I am independent, good at teamwork &amp; problem solver.</t>
  </si>
  <si>
    <t>Malaysian Resident</t>
  </si>
  <si>
    <t>Bianca Chua</t>
  </si>
  <si>
    <t>Talent Consultant</t>
  </si>
  <si>
    <t>NodeFlair</t>
  </si>
  <si>
    <t>https://www.linkedin.com/in/sinyichua/</t>
  </si>
  <si>
    <t>c.sinyi@hotmail.com</t>
  </si>
  <si>
    <t>Chiam Min, Talent Consultant @ NodeFlair</t>
  </si>
  <si>
    <t>Tarun Gupta</t>
  </si>
  <si>
    <t>Product Lead</t>
  </si>
  <si>
    <t>https://www.linkedin.com/in/tarungupta15/</t>
  </si>
  <si>
    <t>Senior/Mid Frontend Engineer (Remote) - React, Vue or Ember</t>
  </si>
  <si>
    <t>g.tarun15@gmail.com</t>
  </si>
  <si>
    <t>As a global leader in AI and automation, it has proprietary AI techniques including Natural Language Processing to help organizations across financial services, insurance and government sectors with automating tasks and making operations more efficient
- Build solutions using semantic mark-up, templates and SASS
- Develop applications and frameworks for both clients and internal functions
- Create front-end pages with great UI/UX that works cross-browsers
- Accomplish innovative UI/UX using JavaScript</t>
  </si>
  <si>
    <t>- Great written and spoken English proficiency
- 2 or more years of experience in modern JS
- Great fundamentals knowledge in Javascript
- Proficiency in Angular, Vue or React
- Ability to design wireframes with good UX
- Comfortable working with Git, NPM, Gulp, Grunt, Webpack
- Plus point if you are familiar with Java</t>
  </si>
  <si>
    <t>HOOQ colleagues</t>
  </si>
  <si>
    <t>Kristie Teo</t>
  </si>
  <si>
    <t>Video Producer/Editor</t>
  </si>
  <si>
    <t>The Smart Local Singapore</t>
  </si>
  <si>
    <t>https://www.linkedin.com/in/kristieteoht/</t>
  </si>
  <si>
    <t>kristieteoht@gmail.com</t>
  </si>
  <si>
    <t>- (heard from news)</t>
  </si>
  <si>
    <t>Rainier, The Smart Local SG - YouTube Team Lead</t>
  </si>
  <si>
    <t>Daljeet Singh Malli</t>
  </si>
  <si>
    <t xml:space="preserve">Airline captain </t>
  </si>
  <si>
    <t>Jetstar Asia</t>
  </si>
  <si>
    <t>Nil</t>
  </si>
  <si>
    <t>Daljeet.malli@gmail.com</t>
  </si>
  <si>
    <t>BD and Partnerships, Data and analytics, Exec team, HR, People, Talent</t>
  </si>
  <si>
    <t>Newspaper</t>
  </si>
  <si>
    <t>Namita Gandhi. Works for biomed tech. Contac is GandhinamitaYahoo.com</t>
  </si>
  <si>
    <t>Conscientious, dillgent and a fast learner.</t>
  </si>
  <si>
    <t>Nil. Singapore Citizen</t>
  </si>
  <si>
    <t>Amresh s/o Anbalagan</t>
  </si>
  <si>
    <t>Momentum Works (Halalnode)</t>
  </si>
  <si>
    <t>Amresh Anbalagan</t>
  </si>
  <si>
    <t>getamresh@live.com</t>
  </si>
  <si>
    <t>Sameul Hsiao</t>
  </si>
  <si>
    <t>Samuel Hsiao</t>
  </si>
  <si>
    <t>Senior/Mid QA Engineer (Remote)</t>
  </si>
  <si>
    <t>Sean William</t>
  </si>
  <si>
    <t>Personnel Administration Officer</t>
  </si>
  <si>
    <t>Ferron Par Pharmaceuticals</t>
  </si>
  <si>
    <t>As a global leader in AI and automation, it has proprietary AI techniques including Natural Language Processing to help organizations across financial services, insurance and government sectors with automating tasks and making operations more efficient
We're looking for software QA Engineers to join our engineering team to test and help develop high performing software
- Develop Unit, Integration, Functional or Usability Test suite to perform QA from Accuracy Testing to Precision and Recall measure on products using AI, ML and NLP
- Manage and execute both performance and security tests
- Document test results, create reports, track bug and its resolutions 
- Ensure technical quality through best practices such as TDD, Code Review and CI
- Work in autonomous squads, taking ownership of QA activities and knowledge sharing</t>
  </si>
  <si>
    <t>https://www.linkedin.com/in/sean-william-028373152/</t>
  </si>
  <si>
    <t>- 3+ years of experience in Software Development/QA
- Expertise with testing tools, frameworks such as Junit, Selenium, JMeter and test management tools
- Understanding of concepts in software engineering, e.g. OOP and database.
- Familiarity with Agile methodologies
- Experience in Java development
- Excellent written and oral communication skills in English with ability to effectively communicate with teams and clients</t>
  </si>
  <si>
    <t>AI / FinTech / Insurtech / Govtech</t>
  </si>
  <si>
    <t>limiardosean@gmail.com</t>
  </si>
  <si>
    <t>HRD Bacot (twitter account)</t>
  </si>
  <si>
    <t>Michael Smith</t>
  </si>
  <si>
    <t>Security CTO</t>
  </si>
  <si>
    <t>Akamai Technologies</t>
  </si>
  <si>
    <t>https://www.linkedin.com/in/rybolov/</t>
  </si>
  <si>
    <t>rybolov@rybolov.net</t>
  </si>
  <si>
    <t>US</t>
  </si>
  <si>
    <t>EP/part-time travel/remote</t>
  </si>
  <si>
    <t xml:space="preserve">Anch Ong </t>
  </si>
  <si>
    <t>KORU FAMILY OFFICE PTE LTD</t>
  </si>
  <si>
    <t>Senior/Mid AI Engineer (Remote) - Python or Java</t>
  </si>
  <si>
    <t>https://www.linkedin.com/in/anch-ong-0a2b853/</t>
  </si>
  <si>
    <t xml:space="preserve">As a global leader in AI and automation, it has proprietary AI techniques including Natural Language Processing to help organizations across financial services, insurance and government sectors with automating tasks and making operations more efficient
- This is a full-time, onsite position
- Build NLP models to extract texts from documents like passport
- Work with OCR outputs, deal with variations and complete the NLU and extract the target texts
- Write the logic to regex (against a taxonomy or any technique)
- Perform QA testing on NLP modules
- Participate in the development of scalable and fault-tolerant Java application 
</t>
  </si>
  <si>
    <t>- Great written and spoken English proficiency
- Familiarity with data and text mining
- Knowledge of Java/Python
- Experience with OOP and design patterns</t>
  </si>
  <si>
    <t xml:space="preserve">anch_ong@yahoo.com.sg </t>
  </si>
  <si>
    <t>Saw news on online</t>
  </si>
  <si>
    <t>Adrian Ong</t>
  </si>
  <si>
    <t xml:space="preserve">Not required </t>
  </si>
  <si>
    <t>Aswin Prasetyo</t>
  </si>
  <si>
    <t>Traveloka</t>
  </si>
  <si>
    <t>https://www.linkedin.com/in/aswinprasetyo/</t>
  </si>
  <si>
    <t>prasetyo.aswin@gmail.com</t>
  </si>
  <si>
    <t>Alpha JWC Ventures IG post</t>
  </si>
  <si>
    <t>Stefani Herlie, SVP Payment Products @ Traveloka</t>
  </si>
  <si>
    <t>"It has been a pleasure working with Aswin. I have seen that Aswin has been able to learn very quickly (in catching up with the context detail to the UX projects he was responsible for). I believe he will do well anywhere else.</t>
  </si>
  <si>
    <t>Work visa, Indonesian citizen</t>
  </si>
  <si>
    <t>Garry Huang</t>
  </si>
  <si>
    <t>Country Director / CEO, Vietnam</t>
  </si>
  <si>
    <t>AND MORE SOFTWARE ENGINEERING ROLES 👩‍💻👨‍💻👩‍💻👨‍💻👩‍💻👨‍💻</t>
  </si>
  <si>
    <t xml:space="preserve">Wecash </t>
  </si>
  <si>
    <t>https://linkedin.com/in/garryhuang</t>
  </si>
  <si>
    <t>https://careers.smartrecruiters.com/armillary</t>
  </si>
  <si>
    <t>garry@garry.sg</t>
  </si>
  <si>
    <t>BD and Partnerships, Product, Ops, HR, People, Talent</t>
  </si>
  <si>
    <t>Kenneth Low, EIR, 500 Startups</t>
  </si>
  <si>
    <t>NA - SG Citizen</t>
  </si>
  <si>
    <t>Arvid Yap</t>
  </si>
  <si>
    <t>CEO</t>
  </si>
  <si>
    <t>Oplifi</t>
  </si>
  <si>
    <t>https://www.linkedin.com/in/arvidyap/</t>
  </si>
  <si>
    <t>yap.arvid@gmail.com</t>
  </si>
  <si>
    <t>Marketing, BD and Partnerships, Ops, Exec team</t>
  </si>
  <si>
    <t>Karan Nathani @ Digitaraya</t>
  </si>
  <si>
    <t>I have several references which can be provided upon request</t>
  </si>
  <si>
    <t>Arvid was an exceptional partner and co-founder but also an inspiring person. He is very thorough in everything he does and can be depended upon to get the job done</t>
  </si>
  <si>
    <t>I am a citizen of the Netherlands so I will require a work visa</t>
  </si>
  <si>
    <t>Guillaume Terrel</t>
  </si>
  <si>
    <t>Traffic Manager</t>
  </si>
  <si>
    <t>Sanofi</t>
  </si>
  <si>
    <t>https://www.linkedin.com/in/guillaume-terrel</t>
  </si>
  <si>
    <t>g.terrel@hotmail.fr</t>
  </si>
  <si>
    <t>Marketing, Sales</t>
  </si>
  <si>
    <t>Christine Roudaut @Sanofi</t>
  </si>
  <si>
    <t>Holding a WHP</t>
  </si>
  <si>
    <t>Various (AI / FinTech / Insurtech / Govtech / Health-tech)</t>
  </si>
  <si>
    <t>Le Moigne Clément</t>
  </si>
  <si>
    <t>Product Owner / AI - AR - VR</t>
  </si>
  <si>
    <t>XXII GROUP</t>
  </si>
  <si>
    <t>https://www.linkedin.com/in/cl%C3%A9ment-le-moigne-09063237/</t>
  </si>
  <si>
    <t>clement.lemoigne@gmail.com</t>
  </si>
  <si>
    <t>ALBIN</t>
  </si>
  <si>
    <t>ERIC BOYER</t>
  </si>
  <si>
    <t>Senior Information Security and Cyber Security Consultant</t>
  </si>
  <si>
    <t>Prodata Group</t>
  </si>
  <si>
    <t>https://www.linkedin.com/in/eric-boyer-15698a145/</t>
  </si>
  <si>
    <t>TECHNICAL LEAD</t>
  </si>
  <si>
    <t xml:space="preserve">Design overall architecture with a detailed plan focusing on Fundnel’s business goals
Maintain quality and ensure responsiveness of all products while collaborating with the rest of the engineering team to design and launch new features
Maintain code integrity and organisation with a good understanding and execution of security and data protection
Exploring and integration of third-party APIs
Leading an internal development team in developing technical &amp; personal skills
Conduct regular feedback reviews, assist in tech operations, facilitate standards and quality within the team and reduce technical debt
Recruit and develop top engineering talent
Keep an eye out for upcoming trends and their applicability to our technology in strengthening our product offerings
</t>
  </si>
  <si>
    <r>
      <t xml:space="preserve">Full stack development experience
At least 5-8 years of software development experience
At least 2-3 years of leading, hiring and mentoring engineers
Strong knowledge in backend development using one of the following is a must:
PHP (Yii, Laravel, Symfony), Python (Django, flask) or Ruby on Rails
Expert in JS, preferably experience with VueJS or ReactJS
Solid frontend development experience, SASS, LESS, Bootstrap, responsive web design
Experience with assets and dependency management using webpack, npm, composer
Understanding of DevOps to deploy and maintain server infrastructure
Experience with AWS services (EC2, RDS, Redis etc.) is a bonus
Experience building REST APIs and integrating multiple systems, OAuth, token authentication
Experience with caching practices, memcache, Redis, web server cache policies
Experience in building and maintaining databases, implementing analytics etc.
Experience with TDD and unit testing
</t>
    </r>
    <r>
      <rPr>
        <i/>
        <sz val="10"/>
        <rFont val="Arial"/>
      </rPr>
      <t xml:space="preserve">Bonus Attributes
</t>
    </r>
    <r>
      <rPr>
        <sz val="10"/>
        <color rgb="FF000000"/>
        <rFont val="Arial"/>
      </rPr>
      <t>Experience with Python and R
Experience with data integration from multiple sources in different languages
Have a portfolio of past data science projects
Experience with the deployment of machine learning algorithms across a cluster of machines
Experience with building classifications and regression models for machine learning algorithms, and have used scikit-learn in Python
Ruby (Ruby on Rails)
https://fundnel.com/jobs/59/singapore/technical-lead</t>
    </r>
  </si>
  <si>
    <t>Fundnel Pte Ltd</t>
  </si>
  <si>
    <t>boyer.eric.sg@gmail.com</t>
  </si>
  <si>
    <t>Marketing, BD and Partnerships, Ops, Design</t>
  </si>
  <si>
    <t>Investment Platform</t>
  </si>
  <si>
    <t>Singapore, Indonesia, Malaysia, Brunei</t>
  </si>
  <si>
    <t>https://fundnel.com/jobs/59/singapore/technical-lead</t>
  </si>
  <si>
    <t>Dependant Pass holder (LOC)</t>
  </si>
  <si>
    <t>Tommaso Gioacchini</t>
  </si>
  <si>
    <t>Regional Business Development Manager</t>
  </si>
  <si>
    <t>Verita Healthcare Group</t>
  </si>
  <si>
    <t>https://www.linkedin.com/in/tommasogioacchini/</t>
  </si>
  <si>
    <t>tommygio79@gmail.com</t>
  </si>
  <si>
    <t>My wisdom</t>
  </si>
  <si>
    <t>Akshay Bhat</t>
  </si>
  <si>
    <t>jobs@fundnel.com</t>
  </si>
  <si>
    <t>Chief Executive Officer</t>
  </si>
  <si>
    <t xml:space="preserve">FalconBio Pte. Ltd. </t>
  </si>
  <si>
    <t>https://www.linkedin.com/in/akshayvishnubhat</t>
  </si>
  <si>
    <t>akshayvishnubhat@gmail.com</t>
  </si>
  <si>
    <t>Marketing, BD and Partnerships, Product, Accounting</t>
  </si>
  <si>
    <t>🅰️🚀Startup Founder</t>
  </si>
  <si>
    <t>Social media</t>
  </si>
  <si>
    <t xml:space="preserve">Teik Guan (Partner, Entrepreneur First) </t>
  </si>
  <si>
    <t>At Antler, we believe that it is important to have exceptional people, regardless of their background and nationality, work on addressing large global opportunities and challenges. We bring together exceptional people to build their next startup. We help to validate the business model, mentor the teams, give access to an unmatched global network of advisors and provide financing from day one so that you can build and scale your startup faster.</t>
  </si>
  <si>
    <t xml:space="preserve">Akshay is great entrepreneur, systematic, hardworking and relentless. He is this deep tech guy with a vision to reinvent healthcare. Has always been a great pleasure working with him. </t>
  </si>
  <si>
    <t xml:space="preserve">We believe anyone with the right talent, drive and resources can change our world for the better. We've been in your shoes! 
We're looking for exceptionally talented individuals with the aspiration to become a great founder of a fast-growing startup. Do you have a strong deep tech and product background? Are you a researcher or scientist with deep tech domain expertise? Or, have you launched products on a broad scale in the past or have proven business and growth skills? Apply now! Now is the best time to stop dreaming and start building. </t>
  </si>
  <si>
    <t>Fitrianingsih</t>
  </si>
  <si>
    <t>Venture Capital</t>
  </si>
  <si>
    <t xml:space="preserve">SEO Content Writer and Editor </t>
  </si>
  <si>
    <t>Umroh.com</t>
  </si>
  <si>
    <t>https://www.antler.co/singapore</t>
  </si>
  <si>
    <t>https://www.linkedin.com/in/fitrianingsih/</t>
  </si>
  <si>
    <t>fitrianingsih.ui@gmail.com</t>
  </si>
  <si>
    <t>Ridho Irawan, CEO @Umroh.com</t>
  </si>
  <si>
    <t>Anggita Muslimah, as PR @Umroh.com</t>
  </si>
  <si>
    <t xml:space="preserve">Anggita is one my favorite partner. She knows all about what my job is it. She give me a lot of knowledge about writing. And her jokes always makes me laugh in office.  </t>
  </si>
  <si>
    <t>Konrad Haedicke</t>
  </si>
  <si>
    <t>Senior Sales Manager</t>
  </si>
  <si>
    <t>Sojern</t>
  </si>
  <si>
    <t>https://www.linkedin.com/in/konradhaedicke/</t>
  </si>
  <si>
    <t>🅰️🚀Part-time Startup Founder</t>
  </si>
  <si>
    <t>https://executivedeeptech.com/</t>
  </si>
  <si>
    <t>k.haedicke@hotmail.com</t>
  </si>
  <si>
    <t>Dan Lynn, Founder ZUZU Hospitality</t>
  </si>
  <si>
    <t>Geetha Vijeekumaran</t>
  </si>
  <si>
    <t xml:space="preserve">Talent Acquisition Executive </t>
  </si>
  <si>
    <t xml:space="preserve">dahmakan </t>
  </si>
  <si>
    <t>https://www.linkedin.com/in/geetha-vijeekumaran-b6a7b913b/</t>
  </si>
  <si>
    <t>geethavijeekumaran93@gmail.com</t>
  </si>
  <si>
    <t>Tarshana (Talent Acquisition Exec), Famira Othman (Talent Acquisition Exec), Vinothini Ellangova (HR Senior Executive)</t>
  </si>
  <si>
    <t>"Very helpful, patient and hardworking. Able to work independently and get things done!"</t>
  </si>
  <si>
    <t>Tarshanna Vasudevan</t>
  </si>
  <si>
    <t xml:space="preserve">Talent Acquisition Specialist </t>
  </si>
  <si>
    <t>linkedin.com/tarshdevan</t>
  </si>
  <si>
    <t>ASP Web Developer</t>
  </si>
  <si>
    <t>AGHRM is a cloud based HRMS system and we are looking for team members who can:
• Develop new and maintain existing software applications that integrate to backend SQL databases and web services
• Able to work independently including software and technical design, develop application and conduct testing
• Conduct technical trouble-shooting to assist customer support team or customer
• To support &amp; maintain the web server &amp; related applications
• Preferably experienced in web human resource, payroll and backend solutions.</t>
  </si>
  <si>
    <t>tarshadevan@gmail.com</t>
  </si>
  <si>
    <t xml:space="preserve">At Least 1 year development experience
No need for work sponsorship
</t>
  </si>
  <si>
    <t xml:space="preserve">Geetha Vijeekumaran, Senior TA @ dahmakan </t>
  </si>
  <si>
    <t>AGHRM</t>
  </si>
  <si>
    <t xml:space="preserve">Eric Tan , Country Sales Manager </t>
  </si>
  <si>
    <t>HRMS</t>
  </si>
  <si>
    <t>1. Hardworking employ 2. Will go out of my ways to do my work</t>
  </si>
  <si>
    <t>https://web.aghrm.com</t>
  </si>
  <si>
    <t>Arfian Agus</t>
  </si>
  <si>
    <t>Product Manager</t>
  </si>
  <si>
    <t>Tvlk</t>
  </si>
  <si>
    <t>https://www.linkedin.com/in/arfian/</t>
  </si>
  <si>
    <t>arfian.agus@gmail.com</t>
  </si>
  <si>
    <t>someone @ google</t>
  </si>
  <si>
    <t xml:space="preserve">Dita Bella Rizki </t>
  </si>
  <si>
    <t>https://sg.indeed.com/viewjob?t=asp+web+developer&amp;jk=fc2ccfc9856d4daf&amp;_ga=2.128328844.120281084.1585718778-1508611727.1579076868</t>
  </si>
  <si>
    <t xml:space="preserve">Marketing event &amp; ops </t>
  </si>
  <si>
    <t xml:space="preserve">PT AMANAH UMROH HANDAL (umroh.com) </t>
  </si>
  <si>
    <t xml:space="preserve">dita bella </t>
  </si>
  <si>
    <t>ditabella83@gmail.com</t>
  </si>
  <si>
    <t>Marketing, BD and Partnerships, Ops</t>
  </si>
  <si>
    <t xml:space="preserve">ridho irawan (ceo umroh.com ) </t>
  </si>
  <si>
    <t xml:space="preserve">nothing </t>
  </si>
  <si>
    <t>Eli Kusmayadi</t>
  </si>
  <si>
    <t xml:space="preserve">SEO (Search Engine Optimization) Lead </t>
  </si>
  <si>
    <t>https://id.linkedin.com/in/elikusmayadi</t>
  </si>
  <si>
    <t>eli.kusmayadi@gmail.com</t>
  </si>
  <si>
    <t>Ridho Irawan, CEO @ Umroh.com</t>
  </si>
  <si>
    <t>Ridho Irawan, CEO</t>
  </si>
  <si>
    <t>Jessica Paderon</t>
  </si>
  <si>
    <t xml:space="preserve">Operations Executive </t>
  </si>
  <si>
    <t>BeMyGuest Pte. Ltd</t>
  </si>
  <si>
    <t>http://linkedin.com/in/cwzi7z</t>
  </si>
  <si>
    <t xml:space="preserve">Data Scientist </t>
  </si>
  <si>
    <t>You will have ownership over important project areas that include defining the roadmap of data science. You will work with our structured and unstructured data to find a pattern / trend of how our users are using the product and present these insight reports to the business stakeholders. You love sifting through our data troves to find gems for us to work with.  You have a sharp mind and hands-on approach when it comes to tackling technical challenges.</t>
  </si>
  <si>
    <t>Job Responsibilities:
Exploring and visualizing large datasets to drive insights
Fluid at extracting and transforming data from systems using tools
Fluid at practical data mining techniques (pattern detection, predictive modeling, anomaly detection, and optimization) to identify areas of improvement for business/product
Identify and highlight areas of opportunities to help business/product owners optimize existing or new business opportunities/processes
Assist with developing strategies and managing operational metric for various projects
Manage, hiring and mentor your fellow team members</t>
  </si>
  <si>
    <t>Carro</t>
  </si>
  <si>
    <t xml:space="preserve">Automotive </t>
  </si>
  <si>
    <t xml:space="preserve">Singapore </t>
  </si>
  <si>
    <t>jessicapaderon@gmail.com</t>
  </si>
  <si>
    <t>https://www.jobstreet.com.sg/en/job/7885791/sources/2</t>
  </si>
  <si>
    <t>Andrew Tan</t>
  </si>
  <si>
    <t>I’m awesome</t>
  </si>
  <si>
    <t>Fathimah Eniya</t>
  </si>
  <si>
    <t>People Operations</t>
  </si>
  <si>
    <t>https://www.linkedin.com/in/fathimaheniya/</t>
  </si>
  <si>
    <t>Fathimah.eniya@gmail.com</t>
  </si>
  <si>
    <t>Rahendra Putra</t>
  </si>
  <si>
    <t>Fatimah very good in analytics, she can analyze and translate the all HR data to sufficient report, have a good communication skill, and really organized Person</t>
  </si>
  <si>
    <t>Guntur Novfrico</t>
  </si>
  <si>
    <t>Trade Finance Specialist</t>
  </si>
  <si>
    <t>IBK Bank Indonesia</t>
  </si>
  <si>
    <t>https://id.linkedin.com/in/guntur-novfrico-98335040</t>
  </si>
  <si>
    <t>Software Engineer (iOS)</t>
  </si>
  <si>
    <t>We’re looking for a mobile application engineer with a proven and demonstrable track record of building solid applications in iOS.</t>
  </si>
  <si>
    <t>Job Responsibilities:
Hands-on involvement in prototype, design, develop, implement, document and support of mobile applications while upholding mobile development standard, best practices, and methodologies
Working continuously to enhance and optimize the architecture, code, and processes of our mobile apps
Actively proposing new features, functionality, and ideas to improve mobile apps
Work closely with the product team in the design sprints
Provide operational support, maintenance of code quality, bugs-fixes, and git-versioning post-implementation
Perform other relevant duties as assigned
Research on new trends/technologies and make recommendations on inclusions into the development of methodologies and product architecture</t>
  </si>
  <si>
    <t xml:space="preserve">Carro </t>
  </si>
  <si>
    <t>guntur.novfrico@gmail.com</t>
  </si>
  <si>
    <t>Marketing, BD and Partnerships, Product, Finance, Ops</t>
  </si>
  <si>
    <t>https://www.jobstreet.com.sg/en/job-search/carro-jobs/?ojs=2</t>
  </si>
  <si>
    <t>Achmad Reza Abas - Accelerice</t>
  </si>
  <si>
    <t>Maryani Kartini - HSBC Manager</t>
  </si>
  <si>
    <t>Guntur is a fast learner and well played team player. He adapts quickly and responsible with his job</t>
  </si>
  <si>
    <t>Ashley Murrell</t>
  </si>
  <si>
    <t>VP, Partner Success</t>
  </si>
  <si>
    <t>https://www.linkedin.com/in/ashmurrell/</t>
  </si>
  <si>
    <t>ash.e.murrell@gmail.com</t>
  </si>
  <si>
    <t>Sales, BD and Partnerships, Product, Ops</t>
  </si>
  <si>
    <t>Mervin Tan, VP Engineering @ Zave</t>
  </si>
  <si>
    <t>Alan Schmoll, CEO @ Zave</t>
  </si>
  <si>
    <t>Edbert Swidoyono</t>
  </si>
  <si>
    <t>Strategy and Planning Manager</t>
  </si>
  <si>
    <t>Gojek (Gopay)</t>
  </si>
  <si>
    <t>https://www.linkedin.com/in/edbert-swidoyono-a4650136/</t>
  </si>
  <si>
    <t>UX/UI Designer</t>
  </si>
  <si>
    <t>Job Highlights
SBR Hottest Startup 2019 Award Winner
Silver Mobile Excellence Award for the Best E-commerce App
Passionate, energetic &amp; innovative work cultur</t>
  </si>
  <si>
    <t>Job Responsibilities:
Gather and evaluate requirements in collaboration with product managers, engineers, and various stakeholders
Create end to end product design flows, wireframes, mockups and prototypes
Rapidly test and iterate designs using a user-centered design approach
Identify design problems and propose solutions
Design intuitive User Interface across various iOS, Android and Web apps and platforms
Maintain design backlog with the Product Development team
Ownership of the design library and assets
Up to date with emerging tech, latest design patterns, and materials
Facilitate in processes, tools, and specifications required to bring a world-class product</t>
  </si>
  <si>
    <t xml:space="preserve"> Industry </t>
  </si>
  <si>
    <t>edbertswidoyono@gmail.com</t>
  </si>
  <si>
    <t>Sales, BD and Partnerships, Ops, Data and analytics</t>
  </si>
  <si>
    <t>Ivo Wassenaar, Head of Automotive at OLX</t>
  </si>
  <si>
    <t>Indri Maria</t>
  </si>
  <si>
    <t>Marketing Associate</t>
  </si>
  <si>
    <t>PT Solusi Invest Propertindo</t>
  </si>
  <si>
    <t>https://www.linkedin.com/in/indri-maria-82ab4190/</t>
  </si>
  <si>
    <t>indri.maria24@gmail.com</t>
  </si>
  <si>
    <t>Instagram</t>
  </si>
  <si>
    <t>Praditya Adipradhana</t>
  </si>
  <si>
    <t>Visa Operations Support</t>
  </si>
  <si>
    <t>PT OS Selnajaya Indonesia</t>
  </si>
  <si>
    <t>pradityadi@gmail.com</t>
  </si>
  <si>
    <t>Marketing, Sales, Ops</t>
  </si>
  <si>
    <t>Alpha JWC's instagram</t>
  </si>
  <si>
    <t>Adit is your go-to person when it comes to visa application issues in Indonesia. He has established good networks with the relevant Indonesian ministries and agencies on visa/stay permit issues. He is very knowledgeable and helpful. He also has a very good attitude and very hardworking.</t>
  </si>
  <si>
    <t>Eva Tri Yulianti</t>
  </si>
  <si>
    <t>Operation Specialist and Business Development</t>
  </si>
  <si>
    <t>YukStay</t>
  </si>
  <si>
    <t>https://www.linkedin.com/in/evatriyulianti/</t>
  </si>
  <si>
    <t>Customer Success Manager</t>
  </si>
  <si>
    <t>- Develop deep knowledge of our platform and be a primary contact for our customers
- Drive long-term customer adoption and satisfaction through successful and timely onboarding
- Train and educate customers on how to effectively utilize our tools
- Engage our customers actively, positively and consistently and assist all of them with any required problem-solving, and also gather feedback regularly
- Build up our Service Level Agreements and meet all Business Commitments to our customers
- Productively project manage and create organized plans that ensure customer success post-onboarding</t>
  </si>
  <si>
    <t>- Prior experience in a client-facing role
- Prior experience with sales/account management and marketing teams
- Prior experience working with multiple external stakeholders
- Outstanding communication skills and the ability to effectively drive a phone conversation, meetings or larger group presentations
- Phenomenal organizational skills and attention to detail
- Exceptional writing skills and content sourcing to optimise customers' employer branding on Wantedly platform
- Great self-motivation and eagerness to learn
- Ability to thrive in a dynamic environment and are comfortable with ambiguity
- Track record of hitting goals and aligning around key business metrics
- BONUS! Strong SaaS business acumen</t>
  </si>
  <si>
    <t>Wantedly Singapore</t>
  </si>
  <si>
    <t>Social Hiring and Employer Branding platform</t>
  </si>
  <si>
    <t>https://www.wantedly.com/projects/427944</t>
  </si>
  <si>
    <t>triyuliantieva@gmail.com</t>
  </si>
  <si>
    <t>BD and Partnerships, Ops, Data and analytics</t>
  </si>
  <si>
    <t>I found it from twitter</t>
  </si>
  <si>
    <t>Vimala Devi Rao</t>
  </si>
  <si>
    <t>Bluenest Pte Ltd</t>
  </si>
  <si>
    <t>https://www.linkedin.com/in/vimaladevi/</t>
  </si>
  <si>
    <t>andrew@wantedly.com</t>
  </si>
  <si>
    <t>vimaladevi.rao@gmail.com</t>
  </si>
  <si>
    <t>Pree Domadaran</t>
  </si>
  <si>
    <t>Public Speaking Coach, Voiceover, Emcee</t>
  </si>
  <si>
    <t>Own The Room</t>
  </si>
  <si>
    <t>https://www.linkedin.com/in/preedomadaran/</t>
  </si>
  <si>
    <t>BIM Lecturer</t>
  </si>
  <si>
    <t>• Produce and maintain the BIM student Manual
• Provide training to students on Revit and BIM on a regular part time basis
• Oversee and manage projects delivered in BIM as the BIM Manager
• Able to present and conceptualise a BIM Execution Plan (BEP) in various scenarios.
• Provide active direction for students working on BIM Projects</t>
  </si>
  <si>
    <t>Be Learner centric.
Build enduring relationships based on trust.
Observe high ethical standards.
Be innovative and relevant.
Demand the best from yourself.</t>
  </si>
  <si>
    <t>Trent Global College</t>
  </si>
  <si>
    <t>Education (Built Environment)</t>
  </si>
  <si>
    <t>https://www.wantedly.com/projects/427601</t>
  </si>
  <si>
    <t>preedreams@gmail.com</t>
  </si>
  <si>
    <t>Marketing, Sales, HR, People, Talent</t>
  </si>
  <si>
    <t xml:space="preserve">Daria Kalista, Operations Director, Swipe WiFi </t>
  </si>
  <si>
    <t>Kwong Yue Yang, High Lead Coach</t>
  </si>
  <si>
    <t>None. Singapore Resident</t>
  </si>
  <si>
    <t>Eric Lu</t>
  </si>
  <si>
    <t>VP Engineering</t>
  </si>
  <si>
    <t>Kaddra</t>
  </si>
  <si>
    <t>https://www.linkedin.com/in/ericluwj/</t>
  </si>
  <si>
    <t>Complete your Wantedly profile and apply through link</t>
  </si>
  <si>
    <t>ericluwj@gmail.com</t>
  </si>
  <si>
    <t>Engineering, Product, Data and analytics, Exec team</t>
  </si>
  <si>
    <t>TH - Head of Compliance</t>
  </si>
  <si>
    <t>Kenneth Goh</t>
  </si>
  <si>
    <t>StashAway is looking for a Head of Compliance to be part of the Second Line of Defence team to support the business in ensuring compliance with applicable laws, regulations and internal policies, and in mitigating all forms of risks.
Key Responsibilities:
- Providing compliance and regulatory advisory on an ongoing basis including advice on existing and new Thailand banking regulations and relevant Securities and Exchange Commission regulatory requirements.
- Provide input to regulatory consultative papers and proposed rules/guidelines and amendments, and assist in complying with and implementing new applicable requirements – in particular, those related to the area of Foreign Exchange Administration Rules, Banking Secrecy, Outsourcing, Licensing, and Cross Border.
- Develop, maintain and update Group Compliance policies and procedures including the creation of customised processes to meet local regulatory requirements for new markets (e.g. Thailand) and updates to align with changing regulatory developments.
- Provide day-to-day advisory and support for StashAway Thailand and Group Compliance on regulatory developments.
- Support Group Compliance to facilitate Internal and External Audits in Thailand.
- Other aspects of the role include regulatory risk assessments, performing training and executing compliance testing (as needed).
- Assist with regulatory management, including reviews and routine regulatory inquiries.
- Undertake ad hoc compliance and risk management projects as required.</t>
  </si>
  <si>
    <t>Eric has been my best mentor ever since I switched career into the field of software engineering.</t>
  </si>
  <si>
    <t>- Only open to Thai Citizens or Permanent Residents.
- Degree in Law, Finance, Accounting or other closely related professional qualifications.
- Minimum 5 years working experience in Compliance or Risk management in the financial services industry and/or in a reputable law firm with specialisation in capital market and financial services.
- Sound knowledge and experience of AML/CTF regulations to provide subject-matter-expertise.
- Knowledge of fund and wealth management practices and rules in Thailand and the region (particularly, Singapore) is a plus.
- Informed of relevant Bank of Thailand and Securities and Exchange Commission's regulations and related regional regulations (particularly, Singapore).
- Excellent interpersonal and influencing skills, and multicultural awareness.
- Strong analytical, problem solving, management and organisational skills.
- Ability to demonstrate strong organisational skills, attention to detail, and adherence to strict deadlines in a highly regulated industry.
- Ability to multi-task and adapt to changing and competing priorities in a startup environment.
- Strong ability to communicate effectively in English and Thai (oral and writing).
- Ability to work independently and pro-actively take ownership.
- Ability to maintain an open mindset to learn.</t>
  </si>
  <si>
    <t>StashAway</t>
  </si>
  <si>
    <t>Farah Andayani</t>
  </si>
  <si>
    <t>Event &amp; Partnership</t>
  </si>
  <si>
    <t>PT Jalan Terus Saja (ReCharge)</t>
  </si>
  <si>
    <t>https://stashaway-jobs.personio.de/job/125884</t>
  </si>
  <si>
    <t>farahandayani@gmail.com</t>
  </si>
  <si>
    <t>Investment Associate at Alpha JWC Ventures</t>
  </si>
  <si>
    <t>Nida Fadhila, Novan Pramudya, Angga Saputra</t>
  </si>
  <si>
    <t>"Working with Farah is assuring because she is very dependable, keep her progress on track, and a problem solver especially in this face past job as an event coordinator</t>
  </si>
  <si>
    <t>Burcu Sahin</t>
  </si>
  <si>
    <t>Customer Success Lead</t>
  </si>
  <si>
    <t>https://www.linkedin.com/in/burcuatay/</t>
  </si>
  <si>
    <t>burcuataysahin@gmail.com</t>
  </si>
  <si>
    <t>Amanda Tan, Marketing @ Sojern</t>
  </si>
  <si>
    <t>Evona Tan - Head of Account Management @ Sojern</t>
  </si>
  <si>
    <t>EP needed</t>
  </si>
  <si>
    <t>Silvia Putriwahyuni</t>
  </si>
  <si>
    <t>Business Operation</t>
  </si>
  <si>
    <t>PT Hike Digital Asia</t>
  </si>
  <si>
    <t>https://www.linkedin.com/in/silvia-putriwahyuni-b0aa73152</t>
  </si>
  <si>
    <t>silviapw97@gmail.com</t>
  </si>
  <si>
    <t>Finance, HR, People, Talent</t>
  </si>
  <si>
    <t>Legal</t>
  </si>
  <si>
    <t>-</t>
  </si>
  <si>
    <t>Karan Saharan</t>
  </si>
  <si>
    <t>Director, Expansion</t>
  </si>
  <si>
    <t>OYO</t>
  </si>
  <si>
    <t>https://www.linkedin.com/in/karansaharan/</t>
  </si>
  <si>
    <t>SG - Tech Team Lead</t>
  </si>
  <si>
    <t>As a Tech Team Lead at StashAway,  you are responsible for all things customer and user-facing: our marketing website, the web and mobile applications, other internal/external admin interfaces, and more.
Your goal is to deliver world-class products that customers will love! You are driving a scalable  tech stack that allows us to iterate fast, roll-out our apps across multiple geographies with varying requirements, ensure testability, build a reliable tracking infrastructure, and much more.
You will work closely with our Product team on new features and improve the user experience for our customers.
You will need to leverage the entire technology stack to realise these goals and will be part of a team that is constantly tackling difficult questions of scale, architecture, and interaction.
Your contribution to a dynamic Technology team allows you to be exposed to a variety of concepts and technologies. You will enjoy being able to have a direct impact on StashAway's internationalisation plans, and the development of features and new investment products.</t>
  </si>
  <si>
    <t>- You have at least 8 or more years of experience in building applications, preferably with a modern backend stack.
- You have deep experience with JavaScript, HTML/CSS, Scala and Python. Our stack is based on React/React Native, so experience with these technologies is a plus.
- You have a "product sense" and it excites you to work on a consumer-facing product every day, and make continuous improvements in collaboration with other teams of the company.
- You have demonstrated the ability to mentor and lead teams and feel comfortable navigating intense discussions calmly, keeping an objective view on what's right for the customer.
- You are motivated by pushing user experience and the use of automation and technology to its limits.
- Bonus: You have experience working with payment systems.</t>
  </si>
  <si>
    <t>https://stashaway-jobs.personio.de/job/137690</t>
  </si>
  <si>
    <t>karansaharan@gmail.com</t>
  </si>
  <si>
    <t>Vineeth Vijayan, Agorize</t>
  </si>
  <si>
    <t>Kavikrut, Chief Growth Officer</t>
  </si>
  <si>
    <t>Karan is great at launching as well as growing early stage businesses. His startup experience let's him be a hustler while being highly data oriented. He is also a people's person.</t>
  </si>
  <si>
    <t>Robin Bonnin</t>
  </si>
  <si>
    <t xml:space="preserve">CTO, developer android, web developer </t>
  </si>
  <si>
    <t>LightBlue Environmental Consulting</t>
  </si>
  <si>
    <t>https://www.linkedin.com/in/robin-bonnin-094274b2/</t>
  </si>
  <si>
    <t>robin.bonnin@gmail.com</t>
  </si>
  <si>
    <t>BD and Partnerships, Engineering, Product, Ops, Data and analytics, HR, People, Talent</t>
  </si>
  <si>
    <t>SG - Full Stack Engineer</t>
  </si>
  <si>
    <t>Benjamin Lephilibert, Managing director @LightBlue Environmental Consulting</t>
  </si>
  <si>
    <t>Benjamin Lephilibert : Managing Director , Julien Dufour : developer@amadeus</t>
  </si>
  <si>
    <t xml:space="preserve">Do you have a product-first approach when building software? Do you care about the user experience and real-world functionality of your code? Do you like driving innovation through rapid prototyping and iterative development? Do you enjoy working in an entrepreneurial environment with a talented, fun and energetic team who is running at full speed to redefine the way people invest? WE WANT YOU.
We are currently expanding and looking for motivated Full Stack Engineers who have a passion for building robust and scalable systems for customer-focused financial products. 
You will work to design, build, and support many of the core systems powering StashAway software and user experience, from our marketing site to our cash flow and transaction libraries, to our financial computation engine.
Being part of StashAway's Technology team, you will build end-to-end product features that you are confident of delighting user experiences. 
You will need to leverage the entire technology stack to realise these goals and will be part of a team that is constantly tackling difficult questions of scale, architecture, and interaction.
Your contribution to a dynamic Technology team allows you to be exposed to a variety of concepts and technologies. You will enjoy being able to have a direct impact on StashAway's internationalisation plans, and the development of features and new investment products.
Responsibilities:
- Build efficient, scalable, and robust solutions for customers in JavaScript, Python, Go and other related technologies.
- Design and implement solutions to handle high levels of traffic, in a rapidly scaling environment.
- Write testable, clean, efficient code that can be confidently released in production.
- Code in a collaborative, agile environment developing many new features.
- Write well-tested, clean code and review other team members’ contributions.
- Work closely with Product and business teams to produce high-quality results.
- Be part of a team that enables faster internationalisation and the development of new investment products.
</t>
  </si>
  <si>
    <t>I need a work permit and the associated visa</t>
  </si>
  <si>
    <t>Must-Haves:
- Bachelor degree in Computer Science, Engineering or related field.
- You have 2-5 years of experience in building web applications, preferably with a JavaScript-powered modern frontend stack.
- You have deep experience with JavaScript and HTML/CSS. Our stack is based on React, so experience with these technologies is a plus.
- Strong background in data structures and algorithms.
- Familiar with agile processes, testing and continuous integration.
- Eager and willing to learn new things, staying up to date with the latest technologies, and expanding your base skill sets to propose new approaches to your work.
- We have an annual Learning &amp; Development budget of S$1,000/year for you to take charge of your upskilling and learning!
- Able to work independently with minimum supervision.
Good-to-Haves:
- Past work experience working on a B2C product and some degree of interest in finance.</t>
  </si>
  <si>
    <t>Aditya Yuwono</t>
  </si>
  <si>
    <t>Team Manager</t>
  </si>
  <si>
    <t>labster</t>
  </si>
  <si>
    <t>https://www.linkedin.com/in/adityayuwono/</t>
  </si>
  <si>
    <t>https://stashaway-jobs.personio.de/job/107448</t>
  </si>
  <si>
    <t>aditya.yuwono.3d@gmail.com</t>
  </si>
  <si>
    <t>Benoit Auger</t>
  </si>
  <si>
    <t>For his continuous focus on automation and scalable solutions that are going to allow us to move Labster to the next level and provide students around the world with stable, reliable products that will help them learn to their fullest ability.</t>
  </si>
  <si>
    <t>Fauzy Muhammad</t>
  </si>
  <si>
    <t>Mobile App Developer</t>
  </si>
  <si>
    <t>SG - DevOps Engineer</t>
  </si>
  <si>
    <t>Fauzy muhammad</t>
  </si>
  <si>
    <t>fauzymhmmad@gmail.com</t>
  </si>
  <si>
    <t xml:space="preserve">Do you have a product-first approach when building software? Do you genuinely care about making sure that our systems are safe, stable and high-performing? Do you enjoy working in an entrepreneurial environment with a talented, fun and energetic team who is running at full speed to redefine the way people invest? WE WANT YOU.
We are looking for a trustworthy DevOps Engineer to maintain, design and build our next generation of infrastructure. This ensures that our systems are secure, reliable and high-performing; it is a promise to our customers to build their wealth in a highly regulated and secure environment.
Being part of StashAway's Technology team, you will build end-to-end product features that you are confident of delighting user experiences.
You will need to leverage the entire technology stack to realise these goals and will be part of a team that is constantly tackling difficult questions of scale, architecture, and interaction.
Your contribution to a dynamic Technology team allows you to be exposed to a variety of concepts and technologies. You will enjoy being able to have a direct impact on StashAway's internationalisation plans, and the development of features and new investment products.
Responsibilities
- Build infrastructure that requires a bare minimum of operational maintenance.
- Fully automate the traditional sysadmin tasks of hardware provisioning, cluster management, software deployment, and network configuration.
- Maintain, design and improve infrastructure to improve performance while decreasing hosting costs through improved hardware utilisation.
- Build a self-healing infrastructure that requires minimal human intervention to empower developers and increase productivity.
</t>
  </si>
  <si>
    <t>- Bachelor's degree or above in Computer Science, related field, or equivalent professional experience
- Demonstrated expertise with Docker, Linux-based operating systems and system administration
- Strong understanding of network and user security, isolation of privileges and permissions
- At least 3 years of experience managing public cloud-based infrastructure (e.g. Amazon Web Services, Rackspace or Digital Ocean)
- Bonus points for experience (1) working with Kubernetes and/or penetration testing, (2) at a startup, or (3) in internationalisation of DevOps solutions
-Self-driven, has strong sense of ownership and able to work and learn independently
- We have an annual Learning &amp; Development budget of S$1,000/year for you to take charge of your upskilling and learning!</t>
  </si>
  <si>
    <t>Ridho irawan CEO @Umroh.com</t>
  </si>
  <si>
    <t>Lin Cheng Wei</t>
  </si>
  <si>
    <t>https://stashaway-jobs.personio.de/job/181543</t>
  </si>
  <si>
    <t xml:space="preserve">SATS </t>
  </si>
  <si>
    <t>hermes938143@gmail.com</t>
  </si>
  <si>
    <t xml:space="preserve">Garry Huang, Country Director </t>
  </si>
  <si>
    <t xml:space="preserve">Work Visa Required </t>
  </si>
  <si>
    <t>Gaston Chiew</t>
  </si>
  <si>
    <t>Senior Project Manager (Product Management)</t>
  </si>
  <si>
    <t>www.linkedin.com/in/gaston-chiew</t>
  </si>
  <si>
    <t>chiewgt@gmail.com</t>
  </si>
  <si>
    <t>Product, Ops, Data and analytics</t>
  </si>
  <si>
    <t>David Jourdan, Delivery Manager @ GSK</t>
  </si>
  <si>
    <t>SG - Backend Engineer (Trading)</t>
  </si>
  <si>
    <t>Alberto Platas</t>
  </si>
  <si>
    <t>COO</t>
  </si>
  <si>
    <t xml:space="preserve">Do you have a product-first approach when building software? Are you experienced with backend development and constantly finding ways to improve existing infrastructure, platforms, and frameworks? Do you enjoy working in an entrepreneurial environment with a talented, fun and energetic team who is running at full speed to redefine the way people invest?
We are currently expanding and looking for a motivated Backend Engineer who have a passion for building robust and scalable systems for customer-focused financial products.
You are responsible for translating high-level business requirements for new products and features into the services and data models that power them. You will work to design, build, and support many of the core systems powering StashAway's financial software, from cash flow and transaction libraries to our financial computation engine,  You like thinking critically about how to architect and build new components in a performant and scalable manner.
You will need to leverage the entire technology stack to realise these goals, and will be part of a team that is constantly tackling difficult questions of scale, architecture and interaction. You will develop experience with the full stack across different backend systems, restructuring existing systems, extending their functionality as well as building entirely new services from the ground up in the area of Operations, Compliance, Trading and Banking.
Your contribution to a dynamic Technology team allows you to be exposed to a variety of concepts and technologies. You will enjoy being able to have a direct impact on StashAway's internationalisation plans, and the development of features and new investment products.
Responsibilities:
- Take full ownership of certain aspects of our core trading platform that is written in Scala on top of an open-source tech stack (Cassandra, Kafka, Akka, Lagom, and more) to enable the rapid rollout of new investment products and future country launches.
- Work according to the principles of CQRS and Event Sourcing to build the backbone of our financial operations and ensure that transaction dollars are securely moved through StashAway's systems in a series of risk checks to ensure strict regulatory compliance.
- Work on cutting-edge technology and be part of modern software development practices (e.g. agile and self-sufficient teams, continuous integration and deployment, test automation, cloud-based infrastructure, and tooling).
- Design and implement solutions to handle high levels of traffic, in a rapidly scaling environment.
- Write testable, clean, efficient code that can be confidently released in production.
- Work closely with Product and Business teams to produce high-quality results.
- Understand the importance of scalability, self-healing, performance, profiling, data, and security when developing and maintaining backend services.
</t>
  </si>
  <si>
    <t>Fundsfy</t>
  </si>
  <si>
    <t>linkedin.com/in/albertoplatas</t>
  </si>
  <si>
    <t>Must-Haves:
- Bachelors' or above in Computer Science, related field, or equivalent professional experience
- 3-5 years of experience developing distributed systems or building a larger application from scratch
- Experience in Scala, and ideally at least one additional programming language (such as Python, Kotlin, JavaScript, etc)
- Self-driven, has strong sense of ownership and able to work and learn independently
- We have an annual Learning &amp; Development budget of S$1,000/year for you to take charge of your upskilling and learning!
- Comfortable with numbers and motivated by steep learning curves
Good-to-Haves:
- Developed mission-critical products, e.g. trading platforms, medical applications
- Basic knowledge of finance and trading
- Some exposure to CQRS / Event Sourcing patterns
- Basic understanding of infrastructure (e.g. databases, message queues, Docker)</t>
  </si>
  <si>
    <t>https://stashaway-jobs.personio.de/job/183646</t>
  </si>
  <si>
    <t>alberto.platas@gmail.com</t>
  </si>
  <si>
    <t>BD and Partnerships, Product, Ops, Exec team</t>
  </si>
  <si>
    <t>Spain</t>
  </si>
  <si>
    <t>Luz Adell, Partner @ Draper VC</t>
  </si>
  <si>
    <t>Santiago Vernetta, CEO &amp; Co-founder @ Fundsfy</t>
  </si>
  <si>
    <t>"Alberto is a driven problem solver with a strategic mind. I could bring Alberto into any team/project; he has the ability to easily adapt to any business situation and area. He’s analytical and fast at processing cross-functional input, which makes him a good team leader."</t>
  </si>
  <si>
    <t>Spanish passport holder.</t>
  </si>
  <si>
    <t>Kaustav Bose</t>
  </si>
  <si>
    <t>Founder in Residence</t>
  </si>
  <si>
    <t>Entrepreneur First</t>
  </si>
  <si>
    <t>https://www.linkedin.com/in/kaustavkbose</t>
  </si>
  <si>
    <t>SG - Backend Engineer</t>
  </si>
  <si>
    <t xml:space="preserve">Do you have a product-first approach when building software? Are you experienced with backend development and constantly finding ways to improve existing infrastructure, platforms, and frameworks? Do you enjoy working in an entrepreneurial environment with a talented, fun and energetic team who is running at full speed to redefine the way people invest?
We are currently expanding and looking for a motivated Backend Engineer who have a passion for building robust and scalable systems for customer-focused financial products.
You are responsible for translating high-level business requirements for new products and features into the services and data models that power them. You will work to design, build, and support many of the core systems powering StashAway's financial software, from cash flow and transaction libraries to our financial computation engine,  You like thinking critically about how to architect and build new components in a performant and scalable manner.
You will need to leverage the entire technology stack to realise these goals, and will be part of a team that is constantly tackling difficult questions of scale, architecture and interaction. You will develop experience with the full stack across different backend systems, restructuring existing systems, extending their functionality as well as building entirely new services from the ground up in the area of Operations, Compliance, Trading and Banking.
Your contribution to a dynamic Technology team allows you to be exposed to a variety of concepts and technologies. You will enjoy being able to have a direct impact on StashAway's internationalisation plans, and the development of features and new investment products.
Responsibilities:
- Design new services and enhance existing process and data flows with suitable modern technologies.
- Work on cutting-edge technology and be part of modern software development practices (e.g. agile and self-sufficient teams, continuous integration and deployment, test automation, cloud-based infrastructure, and tooling).
- Design and implement solutions to handle high levels of traffic, in a rapidly scaling environment.
- Dive deep into technologies that you are not yet familiar with and work out concepts and best practices for our stack.
- Write testable, clean, efficient code that can be confidently released in production.
- Work closely with Product and Business teams to produce high-quality results.
- Understand the importance of scalability, self-healing, performance, profiling, data, and security when developing and maintaining backend services.
</t>
  </si>
  <si>
    <t>Must-Haves:
- Bachelors' or above in Computer Science, related field, or equivalent professional experience
- 3-5 years of experience developing distributed systems or building a larger application from scratch
- Deep experience in at least one of the following programming languages: Python, Kotlin, Scala, Ruby, or even JavaScript
- Self-driven, has strong sense of ownership and able to work and learn independently
- We have an annual Learning &amp; Development budget of S$1,000/year for you to take charge of your upskilling and learning!
- Comfortable with numbers and motivated by steep learning curves
Good-to-Haves:
- Developed mission-critical products, e.g. trading platforms, medical applications
- Basic knowledge of finance and trading
- Preferably some exposure to CQRS / Event Sourcing patterns
- Basic understanding of infrastructure (e.g. databases, message queues, Docker)</t>
  </si>
  <si>
    <t>kaustavkbose@gmail.com</t>
  </si>
  <si>
    <t>https://stashaway-jobs.personio.de/job/107905</t>
  </si>
  <si>
    <t>Nithin Krishnamurthy</t>
  </si>
  <si>
    <t>Bhaskoro Muthohar</t>
  </si>
  <si>
    <t>Dompet Kilat</t>
  </si>
  <si>
    <t>https://www.linkedin.com/in/bhaskoro-muthohar/</t>
  </si>
  <si>
    <t>bhaskoro.jr@gmail.com</t>
  </si>
  <si>
    <t>Gomgom Fernando, Product Team @ Lazada</t>
  </si>
  <si>
    <t>Fadli Rizal, Co-Founder Hagia Foundation</t>
  </si>
  <si>
    <t>Basah Yudanegara</t>
  </si>
  <si>
    <t>PT Finfleet Teknologi Indonesia</t>
  </si>
  <si>
    <t>Regional Customer Relationship Management Specialist</t>
  </si>
  <si>
    <t>https://www.linkedin.com/in/basah-yuda-negara-3b6a3b15a/</t>
  </si>
  <si>
    <t xml:space="preserve">
Responsibilities
- Adopt a customer-first mindset, conceptualise content ideas and work closely with creative team to actualise them into campaigns as part of the customer journey
- Take ownership to plan, setup, and launch regular campaigns across all CRM touchpoints (E.g. Email, Mobile App Push Notifications, SNS channels) for all markets
- Understand business objectives and work with data team to conduct actionable analysis and to uncover opportunities and gaps in the customer lifecycle, segments and behaviour.
- Continuously optimise campaigns through A/B testing and data analysis
- Work closely with technical stakeholders to develop mastery of our CRM platforms in order to constantly experiment and push the boundaries of our customer communications
- Track, measure and report campaign performances across markets, and share insights across all levels 
- Be up-to-date on trends, techniques, and marketing platforms and come up with innovative ways to reach our users in the least intrusive way possible</t>
  </si>
  <si>
    <t>- 3+ years of relevant experience preferably in e-commerce / retail. Regional or International experience is an added advantage
- Solid hands-on experience in CRM campaign management and loyalty programmes
- Analytical, numerate and proficient in Excel
- Familiar and fluent with CRM platforms and tools e.g. Salesforce Marketing Cloud
- Proficiency in one or more Asian Languages is a plus
- A self-starter, proactive and hands-on approach. Get it done right, and fast!
- A great storyteller with a strong consumer instinct
- Diligent in execution and able to think critically
- Able to handle data and relate them to qualitative aspects of work
- Strong communication skills to influence stakeholders</t>
  </si>
  <si>
    <t>b.yudanegara@gmail.com</t>
  </si>
  <si>
    <t>Najmuddin Husein CCO @ Finfleet</t>
  </si>
  <si>
    <t>Latika Israni</t>
  </si>
  <si>
    <t>Director, Media &amp; Client Service</t>
  </si>
  <si>
    <t xml:space="preserve">Ninja Van </t>
  </si>
  <si>
    <t>Possible WorldWide (Wunderman / WPP)</t>
  </si>
  <si>
    <t>Logistics</t>
  </si>
  <si>
    <t>https://www.linkedin.com/in/latikaisrani/</t>
  </si>
  <si>
    <t>https://jobs.lever.co/ninjavan/6f018173-e617-4626-af63-cc29f65e9d49</t>
  </si>
  <si>
    <t>latika.israni@gmail.com</t>
  </si>
  <si>
    <t>Tushar Tejuja / CEO @ HackerTrail</t>
  </si>
  <si>
    <t>Singapore PR - no visa required</t>
  </si>
  <si>
    <t>Refer to URL</t>
  </si>
  <si>
    <t>Aleksandra Flis</t>
  </si>
  <si>
    <t>Marketing Manager</t>
  </si>
  <si>
    <t>PurelyB</t>
  </si>
  <si>
    <t>https://www.linkedin.com/in/aleksandra-flis-a95649127/</t>
  </si>
  <si>
    <t>Regional Web Graphic Designer</t>
  </si>
  <si>
    <t>- DESIGN – There’s a lot of design work, whether we’re putting together a pitch deck, conceptualizing and designing a website, testing layouts for a landing page, or creating a suite of flat files for a campaign. We need someone who is technically sound and confident in their offline and online(web centric) design skills.
- PITCHING IN - with the Creative team, creating concepts, developing presentations and presenting ideas both internally and direct to our stakeholders.
- LEARNING YOUR CRAFT - not just in design but across a wide range of creative disciplines from a range of different sources.
- SAYING ‘YES’ A LOT - no two days are going to be the same, and we’ll be looking for you to help across a range of different things. It’s a small but fun team so we all wear multiple hats.
- Conceptualizing creative ideas with clients.
- Testing and improving the design of the website.
- Maintaining the appearance of websites by enforcing content standards.
- Strong conceptual and creative skills.
- A clear understanding of the importance of user-centered design and design thinking.</t>
  </si>
  <si>
    <t>- Proficiency in front-end development web programming languages such as HTML and CSS, JQuery, and JavaScript.
- Proficiency in graphic design software including Adobe Photoshop, Adobe Illustrator, and other visual design tools.
- Proficient understanding of cross-browser compatibility issues
- Up-to-date experience with international web protocols, standards, and technologies.
- A clear understanding of the importance of user-centered design and design thinking.
- Be passionate about resolving user pain points through great design.
- The ability to work and thrive in a fast-paced, rapidly changing work environment.
- Excellent communicator (both written &amp; verbal) and creative thinker, with an ability to use data to inform all decisions.
- Diploma/Bachelor in Web Design, Communication Design or other related fields (good to have, but not always necessary, let your portfolio do the talking)
- Relevant working experience of 2 - 3 years.</t>
  </si>
  <si>
    <t>aleksandra.flis@hotmail.com</t>
  </si>
  <si>
    <t>https://jobs.lever.co/ninjavan/b39a2d84-5143-4c4d-81a8-dc93cfb2b0d2</t>
  </si>
  <si>
    <t>Jesrina Arshad, Founder &amp; CEO of PurelyB</t>
  </si>
  <si>
    <t>Stephanie Looi, COO of PurelyB</t>
  </si>
  <si>
    <t xml:space="preserve">Available upon request. </t>
  </si>
  <si>
    <t xml:space="preserve">A sponsorship for the Employment Pass will be required.  </t>
  </si>
  <si>
    <t>Kartika Adyani</t>
  </si>
  <si>
    <t>Community Manager</t>
  </si>
  <si>
    <t>Traveloka (PT Trinusa Travelindo)</t>
  </si>
  <si>
    <t>kartikaadyani@gmail.com</t>
  </si>
  <si>
    <t>Natali Ardianto, CEO itmi.id</t>
  </si>
  <si>
    <t>Mahwari Sadewa Jalutama, Community and Influencer Lead Traveloka</t>
  </si>
  <si>
    <t>Dionisius Nathaniel, CMO Traveloka</t>
  </si>
  <si>
    <t>Arianti Silvia</t>
  </si>
  <si>
    <t>Senior UX Designer</t>
  </si>
  <si>
    <t xml:space="preserve">Growth Hustler </t>
  </si>
  <si>
    <t>Vrbo (HomeAway) ― Expedia Group</t>
  </si>
  <si>
    <t>https://www.linkedin.com/in/riantisilvi/</t>
  </si>
  <si>
    <r>
      <rPr>
        <b/>
        <i/>
        <sz val="10"/>
        <rFont val="Arial"/>
      </rPr>
      <t xml:space="preserve">Why Join Us?
</t>
    </r>
    <r>
      <rPr>
        <sz val="10"/>
        <color rgb="FF000000"/>
        <rFont val="Arial"/>
      </rPr>
      <t xml:space="preserve">- Huge freedom and ownership to initiate, lead or join growth projects within the team!
- Work with a highly motivated and talented product engineering team that is fully supportive of sales effort to address customer needs.
- Make an impact pioneering a fast growing startup engineering a high quality software loved by data professionals. Check out our case studies from ShopBack (https://blog.holistics.io/shopback-deliver-faster-better-data-reports-with-holistics/) and 99co (https://blog.holistics.io/how-99-co-gains-better-customer-insights-with-holistics/) (and more to come).
</t>
    </r>
    <r>
      <rPr>
        <b/>
        <i/>
        <sz val="10"/>
        <rFont val="Arial"/>
      </rPr>
      <t xml:space="preserve">What You Will Be Doing
</t>
    </r>
    <r>
      <rPr>
        <sz val="10"/>
        <color rgb="FF000000"/>
        <rFont val="Arial"/>
      </rPr>
      <t>- As a Growth Hustler, your primary goal is to deliver business growth through leading and joining projects related to customer acquisition, on-boarding, retention, and virality.
- Optimize our trial conversion process by collaborating with our engineers
- Build your case for growth projects and monitor your growth returns
- Study data industry trends and establish yourself as a thought leader in the community
- Design and execute repeatable sales processes and execute them
- Identify ways to reduce growth leakage through improving retention</t>
    </r>
  </si>
  <si>
    <t>You are a rainmaker who makes things happen, or a reliable team player that can help your team execute their initiatives to completion. Our team possess a mix of some of the following skill-sets, and work together to drive project outcomes together!
We like you to leverage on your experience, skills and perspectives in at least 2 of the following:
- Digital Marketing: You ran digital marketing campaigns and understand how different tools fits into an overall demand generation strategy.
- Sales Sense: You make sharp assessments on prospects and customers, and am able to find out their underlying concerns or motivations from their behavior and responses. 
- Content: You can adapt your writing to appeal to different audiences and personas in technical, business and media. 
- Design: Besides knowing bad design when you see one, you are able to roll up your sleeves and design creative visuals or infographics to market our content better.
- Analytical: You know the right metrics to track and measure to track project progress, and how to convert data to get the answers and insights you need.
- Product Sense: You have a sharp eye for software design and can quickly mock-up wireframes and workflows that makes sense from a prospect evaluating the software.
- Technical Skills: You know how to code and can deploy simple commits or changes without the need to involve an experienced engineer.
We don’t expect you to be a super all-rounder with all the above skills, we want to know your skills-mix, and how you think they can fit with ours.</t>
  </si>
  <si>
    <t>riantisilvi@gmail.com</t>
  </si>
  <si>
    <t>Aulia Masna, Editor @ Apple Singapore</t>
  </si>
  <si>
    <t>Anton Tuhadiansyah, Android Dev @ Agoda BKK</t>
  </si>
  <si>
    <t>Rizqie Aulia</t>
  </si>
  <si>
    <t>UX Writer</t>
  </si>
  <si>
    <t>Style Theory</t>
  </si>
  <si>
    <t>https://www.linkedin.com/mwlite/in/rizqieauliaf</t>
  </si>
  <si>
    <t>Computer Software</t>
  </si>
  <si>
    <t>https://careers.holistics.io/qo2h55/growth-hustler</t>
  </si>
  <si>
    <t>rizqieaulia@gmail.com</t>
  </si>
  <si>
    <t>Johan Wahyudi - UX Researcher at Gojek</t>
  </si>
  <si>
    <t>Ben Kim - Head of UX in Style Theory</t>
  </si>
  <si>
    <t>Since Day 1, I have been very impressed by her sense of responsibility and drive to learn more about the industry to perfect her craft. She has been a great teammate who is not only welcoming to new members of the team but also great at encouraging the team to come up with new ideas on making every corner of our team better. - Ben Kim</t>
  </si>
  <si>
    <t>Kelvin Desman</t>
  </si>
  <si>
    <t>DevOps + Softwar Engineer</t>
  </si>
  <si>
    <t>https://airtable.com/shrQSVTRCqjRZmY78
 or talents@holistics.io</t>
  </si>
  <si>
    <t>Modana</t>
  </si>
  <si>
    <t>https://www.linkedin.com/in/klvndsmn/</t>
  </si>
  <si>
    <t>PPC Digital Marketing</t>
  </si>
  <si>
    <t xml:space="preserve">Run our Google Channels, across 7 markets in SEA. </t>
  </si>
  <si>
    <t>2-3 years of experience in running digital campaigns on performance marketing channels</t>
  </si>
  <si>
    <t>kelvin111196@gmail.com</t>
  </si>
  <si>
    <t>Saw on linkedin</t>
  </si>
  <si>
    <t>Adriana Saleh</t>
  </si>
  <si>
    <t>Consumer Healthcare</t>
  </si>
  <si>
    <t>https://jobs.lever.co/zenyum/52141b5e-7acb-4e2d-9d38-5321ad048668</t>
  </si>
  <si>
    <t>Creative Director</t>
  </si>
  <si>
    <t>iflix</t>
  </si>
  <si>
    <t xml:space="preserve">https://www.linkedin.com/in/adrianasaleh/ </t>
  </si>
  <si>
    <t>adrianamsaleh@gmail.com</t>
  </si>
  <si>
    <t>Dinesh Ratnam, Country Manager @ iflix Malaysia</t>
  </si>
  <si>
    <t>Will need a Working Visa if position is outside of Malaysia.</t>
  </si>
  <si>
    <t>Josi Renalt Siregar</t>
  </si>
  <si>
    <t>SPV Account Incentive</t>
  </si>
  <si>
    <t>PT. MITRA GLOBAL HOLIDAY GROUP</t>
  </si>
  <si>
    <t>Josi renalt siregar</t>
  </si>
  <si>
    <t>Josirenaltsiregar@yahoo.com</t>
  </si>
  <si>
    <t>Twitter</t>
  </si>
  <si>
    <t>Ashwin Purushottam</t>
  </si>
  <si>
    <t>General Manager Singapore &amp; Germany</t>
  </si>
  <si>
    <t>Lime Technologies Pvt Ltd</t>
  </si>
  <si>
    <t xml:space="preserve">Android Developer </t>
  </si>
  <si>
    <t>https://www.linkedin.com/in/ashwin1985/</t>
  </si>
  <si>
    <t>Responsible for the development and maintenance of applications aimed at a vast number of diverse Android devices. Your primary focus will be the development of Android applications and their integration with back-end services. You will be working along-side other engineers and developers working on different layers of the infrastructure. Therefore, a commitment to collaborative problem solving, sophisticated design, and creating quality products is essential</t>
  </si>
  <si>
    <t>aximili85@gmail.com</t>
  </si>
  <si>
    <t>Marketing, BD and Partnerships, Ops, Data and analytics, Exec team</t>
  </si>
  <si>
    <t>Friend at Foodpanda Singapore</t>
  </si>
  <si>
    <t>Min 3 years experience and above</t>
  </si>
  <si>
    <t>Siddharth Shanker, GM Singapore Deliveroo: https://www.linkedin.com/in/siddharth-shanker-a7448356/</t>
  </si>
  <si>
    <t>"When Ashwin works on something he's passionate about, he will relentlessly drive his team for the best results and ensure that their personal growth is aligned with the company's growth."/  "Ashwin is a problem solver, he will always find a viable alternative to getting things done".</t>
  </si>
  <si>
    <t>I have temporarily switched from a Personal Employment Pass (lapsed) to a valid Dependent Pass (sponsored by my wife's company)</t>
  </si>
  <si>
    <t>Mohit Taneja</t>
  </si>
  <si>
    <t>Senior Customer Success Manager</t>
  </si>
  <si>
    <t>www.linkedin.com/in/mohit-taneja-731771a9</t>
  </si>
  <si>
    <t>Taneja.mohit100@gmail.com</t>
  </si>
  <si>
    <t>Fiona Thia, Enterprise Account Executive APAC @ Sedna Systems</t>
  </si>
  <si>
    <t>HR (Tech)</t>
  </si>
  <si>
    <t>Shmuel Hershko AVP Operations</t>
  </si>
  <si>
    <t>Need Sponsorship</t>
  </si>
  <si>
    <t>Andreas</t>
  </si>
  <si>
    <t>Operations Analyst</t>
  </si>
  <si>
    <t>Club Alacarte (PT. Media Digital Alacarte)</t>
  </si>
  <si>
    <t>Andreas Lee</t>
  </si>
  <si>
    <t>Singapore, HK, Jakarta, Kuala-Lumpur, Bangkok</t>
  </si>
  <si>
    <t>andreassleee@gmail.com</t>
  </si>
  <si>
    <t>Marketing, BD and Partnerships, Product</t>
  </si>
  <si>
    <t>Kenneth Low, COO @ Club Alacarte</t>
  </si>
  <si>
    <t>Zeenat Rafick</t>
  </si>
  <si>
    <t>theo@hreasily.com</t>
  </si>
  <si>
    <t>Operations &amp; Admin Executive</t>
  </si>
  <si>
    <t>Zeemart Pte Ltd</t>
  </si>
  <si>
    <t>ZEENAT RAFICK</t>
  </si>
  <si>
    <t>zeenat.rafick@gmail.com</t>
  </si>
  <si>
    <t>Beena Natarajan, Head of Talent &amp; Vibe @ Zeemart Pte Ltd</t>
  </si>
  <si>
    <t>Beena Natarajan, Head of Talent &amp; Vibe</t>
  </si>
  <si>
    <t xml:space="preserve">I have a "can-do" attitude towards any tasks given. Great communications skill with stakeholders and everyone in the office. </t>
  </si>
  <si>
    <t>Jonathan austin</t>
  </si>
  <si>
    <t xml:space="preserve">Tech adoption program manager </t>
  </si>
  <si>
    <t xml:space="preserve">Stragiti </t>
  </si>
  <si>
    <t>https://sg.linkedin.com/in/jonathanaustin</t>
  </si>
  <si>
    <t>iOS Developer</t>
  </si>
  <si>
    <t>Responsible for the development and maintenance of applications aimed at a range of iOS devices including mobile phones and tablet computers. Your primary focus will be development of iOS applications and their integration with back-end services. You will be working alongside other engineers and developers working on different layers of the infrastructure. Therefore, a commitment to collaborative problem solving, sophisticated design, and the creation of quality products are essential.</t>
  </si>
  <si>
    <t>marmyj@hotmail.com</t>
  </si>
  <si>
    <t>Marketing, Sales, BD and Partnerships, Product</t>
  </si>
  <si>
    <t>Kenny</t>
  </si>
  <si>
    <t>Andrew calvert</t>
  </si>
  <si>
    <t>I was impressed by Jonathan ability to understand customer needs from the most prosaic of conversations. And his deliberate approach to preparation and always willing to entertain new ideas.</t>
  </si>
  <si>
    <t>SG PR</t>
  </si>
  <si>
    <t>Goncalo Carvalho</t>
  </si>
  <si>
    <t>Regional Head of Partnerships</t>
  </si>
  <si>
    <t>Iflix</t>
  </si>
  <si>
    <t>https://www.linkedin.com/in/goncalocarvalho/?originalSubdomain=pt</t>
  </si>
  <si>
    <t>goncalovcarvalho@gmail.com</t>
  </si>
  <si>
    <t>Dinesh Ratnam, Country Manager @iflix</t>
  </si>
  <si>
    <t>Dinesh Ratnam Country Manager</t>
  </si>
  <si>
    <t>Yap Soon Guan</t>
  </si>
  <si>
    <t>Marketing Executive</t>
  </si>
  <si>
    <t>Smove Car Sharing</t>
  </si>
  <si>
    <t>https://www.linkedin.com/in/yap-soon-guan-a32015b6/</t>
  </si>
  <si>
    <t>Responsible for understanding project brief and converting that into appealing, highly usable interfaces. Work closely with product managers to translate product requirements into UX and UI requirements</t>
  </si>
  <si>
    <t>samuel.chan@hreasily.com, rachel.lin@hreasily.com</t>
  </si>
  <si>
    <t>soonguanyap@gmail.com</t>
  </si>
  <si>
    <t>Gail Lau @ Heydayasia</t>
  </si>
  <si>
    <t>Wan Ming Xian, Customer Support Manager @ Hubspot</t>
  </si>
  <si>
    <t>Kaushik Sthankiya</t>
  </si>
  <si>
    <t>SVP, Business Development</t>
  </si>
  <si>
    <t>Bango</t>
  </si>
  <si>
    <t>https://www.linkedin.com/in/kaushiksthankiya/</t>
  </si>
  <si>
    <t>Senior Software Architect</t>
  </si>
  <si>
    <t>Responsible for shaping the direction of the company's technological initiatives and training. As part of the platform team, he/she will also work closely with all the delivery teams to ensure quality, advancements and maintaining standards.</t>
  </si>
  <si>
    <t>Min 10 years experience and above</t>
  </si>
  <si>
    <t>kaushik.sthankiya@ntlworld.com</t>
  </si>
  <si>
    <t>Marketing, Sales, BD and Partnerships, Product, Data and analytics, Exec team</t>
  </si>
  <si>
    <t>United Kingdom</t>
  </si>
  <si>
    <t>Irina Chuchkina</t>
  </si>
  <si>
    <t>Mark Rosten</t>
  </si>
  <si>
    <t>British Citizen</t>
  </si>
  <si>
    <t>Eva Marina Rianty Sidabariba</t>
  </si>
  <si>
    <t>Business Development Staff</t>
  </si>
  <si>
    <t>PT. Tunas Ridean Tbk</t>
  </si>
  <si>
    <t>https://www.linkedin.com/in/eva-marina-rianty-33071812b/</t>
  </si>
  <si>
    <t>Marketing Lead</t>
  </si>
  <si>
    <t>marinarianty@gmail.com</t>
  </si>
  <si>
    <t>BD and Partnerships, Product, Ops</t>
  </si>
  <si>
    <t>Ivan Aditya, Manager @PT. Tunas Ridean Tbk</t>
  </si>
  <si>
    <t>Putri Ariska, Tokopedia</t>
  </si>
  <si>
    <t xml:space="preserve">Eva is a creative person who loves managing kinds of things especially in traveling. </t>
  </si>
  <si>
    <t>No. I don't have Visa</t>
  </si>
  <si>
    <t>Shreyanka Changaroth</t>
  </si>
  <si>
    <t xml:space="preserve">Innovations Executive </t>
  </si>
  <si>
    <t>Enrupt</t>
  </si>
  <si>
    <t>https://www.linkedin.com/in/smirchandanichangaroth/</t>
  </si>
  <si>
    <t>Proven marketing leader in all aspects of digital marketing including Growth (paid and organic), Brand Awareness, Publicity, Engagement and Retention. Exceptional command of brand campaigns, paid social advertising, social media marketing, influencer marketing, PR, audience targeting, organic growth methods, and revenue generation.</t>
  </si>
  <si>
    <t>shreyankamc@gmail.com</t>
  </si>
  <si>
    <t>Rachel Mak (personal friend)</t>
  </si>
  <si>
    <t>Megha Singh, Business Consultant</t>
  </si>
  <si>
    <t xml:space="preserve">Shreyanka is a quick learner and an independent thinker. She has a lot of integrity and will seek to understand directives and how they fit with the overall goals of the project before executing them. She has always been open to new opportunities and displays an analytical bent of mind. </t>
  </si>
  <si>
    <t>Singaporean, so no visa requirements for Singapore</t>
  </si>
  <si>
    <t>Min 5 years experience and above</t>
  </si>
  <si>
    <t>Lucy Zheng</t>
  </si>
  <si>
    <t>Account Manager Experience</t>
  </si>
  <si>
    <t>Booking.com</t>
  </si>
  <si>
    <t>https://www.linkedin.com/in/lucy-ruqi-z-b358793a/</t>
  </si>
  <si>
    <t>jason@hreasily.com</t>
  </si>
  <si>
    <t>lucyzheng90@gmail.com</t>
  </si>
  <si>
    <t>Richa Thakur - Area Manager APAC Experience Booking.com</t>
  </si>
  <si>
    <t>Either a EP or a LOC for DP holder</t>
  </si>
  <si>
    <t>Evelina Larisa</t>
  </si>
  <si>
    <t>Data Analyst/Business Intelligence</t>
  </si>
  <si>
    <t>Senior Partner Acquisition</t>
  </si>
  <si>
    <t>Tokopedia</t>
  </si>
  <si>
    <t>Develop frameworks to analyze business problems, develop hypotheses, mine data, deliver recommendations, and assess the impact of proposed solutions.
Regular interaction with product managers to understand their business objectives. Proactively recommend on how you think data &amp; analytics could help them achieve their goals.</t>
  </si>
  <si>
    <t>https://id.linkedin.com/in/evelinalarisasidharta</t>
  </si>
  <si>
    <t>evelinalarisa8@gmail.com</t>
  </si>
  <si>
    <t>Linkedin page</t>
  </si>
  <si>
    <t xml:space="preserve">Simon witenberg </t>
  </si>
  <si>
    <t xml:space="preserve">Chief technology officer </t>
  </si>
  <si>
    <t xml:space="preserve">Xplor </t>
  </si>
  <si>
    <t>http://linkedin.com/in/simon-witenberg-96b78943</t>
  </si>
  <si>
    <t>Senior Legal Counsel</t>
  </si>
  <si>
    <t xml:space="preserve">This is a high-profile role reporting to the Head of Finance (but potentially the founders) and involves regular interactions with internal and external stakeholders (including investors).  The successful candidate will operate as the subject matter expert for all legal-related issues (from development of new products, expansion into new markets, or areas of privacy, security, and compliance).  This person will also need to not only be able to think strategically, but be equally committed to taking a hands-on approach and grapple problems head on.
This is a global role which is based in Singapore. </t>
  </si>
  <si>
    <t>Simon.witenberg@hotmail.fr</t>
  </si>
  <si>
    <t>Jasmin Tan</t>
  </si>
  <si>
    <t>Emily Wu</t>
  </si>
  <si>
    <t>Profesional Services Project Manager</t>
  </si>
  <si>
    <t>Aventri Event Software Pteb Ltd</t>
  </si>
  <si>
    <t>https://www.linkedin.com/in/emily-wu-singapore/</t>
  </si>
  <si>
    <t>10+ years of relevant experience in an Internet/ technology company
Working with key decision makers such as Founders within a fast-paced and competitive environment, ideally one that has experienced rapid growth and expansion
Demonstrable ability of a commercial mindset
Able to act as a key partner to the organization, and strike the right balance between the growth needs of the organization whilst maintaining the appropriate level of compliance</t>
  </si>
  <si>
    <t>Circles.Life</t>
  </si>
  <si>
    <t>Telco (Tech)</t>
  </si>
  <si>
    <t>https://www.circles.life/sg/job-board/?gh_jid=4699885002</t>
  </si>
  <si>
    <t>emily73@live.com.sg</t>
  </si>
  <si>
    <t>Sales, Finance, Ops, Exec team</t>
  </si>
  <si>
    <t>Vivien Hoe @ digitalevents.asia</t>
  </si>
  <si>
    <t>Daniella Professional Service APAC Director</t>
  </si>
  <si>
    <t xml:space="preserve"> A strategic leader with a go to attitude. Passionate, detail oriented and customers focuse</t>
  </si>
  <si>
    <t>Valentinus Vesakha Vincent</t>
  </si>
  <si>
    <t>eCommerce &amp; Business Intelligence</t>
  </si>
  <si>
    <t>Beiersdorf Indonesia</t>
  </si>
  <si>
    <t>Http://linkedin.com/valentinusvv</t>
  </si>
  <si>
    <t>Valentinusvincent@outlook.com</t>
  </si>
  <si>
    <t>Marketing, Sales, BD and Partnerships, Product, Data and analytics, HR, People, Talent</t>
  </si>
  <si>
    <t>Gail Lau, Partner @ Heyday Asia</t>
  </si>
  <si>
    <t>Working S Pass</t>
  </si>
  <si>
    <t xml:space="preserve">Koo hai ling cecilia </t>
  </si>
  <si>
    <t>Digital marketing and CRM lifecycle manager - growth</t>
  </si>
  <si>
    <t>Classpass</t>
  </si>
  <si>
    <t>Cecilia koo</t>
  </si>
  <si>
    <t>Ceciliakoo.khl@gmail.com</t>
  </si>
  <si>
    <t>Marketing, Data and analytics</t>
  </si>
  <si>
    <t xml:space="preserve">Neha Mathur , head of growth international </t>
  </si>
  <si>
    <t>Abdul Aziz</t>
  </si>
  <si>
    <t>Digital Business Head</t>
  </si>
  <si>
    <t>Adira Insurance</t>
  </si>
  <si>
    <t>https://www.linkedin.com/in/cakaziz</t>
  </si>
  <si>
    <t>Product Manager (Customer Experience / Telco Growth)</t>
  </si>
  <si>
    <t>aziz.atworld@gmail.com</t>
  </si>
  <si>
    <t>The Product Manager, Customer Experience at Circles.Life operates at the exciting intersection of Technology, Design, Strategy and Marketing. You will be responsible for product strategy, competitive intelligence, and contribute to design/pricing in line with our differentiated positioning. Your mission is to continuously understand the digital customer needs and come up with products that fit their needs and align with company plans and resources. 
The Product Manager (SG Telco Growth, Singapore) at Circles.Life operates at the exciting intersection of Technology, Design, Strategy and Marketing. You will be responsible for product strategy, competitive intelligence, and contribute to design/pricing in line with our differentiated positioning. Your mission is to continuously understand the digital customer needs and come up with products that fit their needs and align with company plans and resources. You are as much at ease in an industry littered with jargon as you are with exploiting the power of analysis to communicate your views.</t>
  </si>
  <si>
    <t>Big picture thinker while has the hustle to execute, learn and iterate quickly. Can connect the dots between consumer insights through data, primary research ( user interaction) secondary research ( surveys) and market trends ( industry and market)
Have experience working on commercial ($ value) linked projects in digital direct B2C ecosystem
Be able to manage multiple projects across markets simultaneously
Can work across functions and use the ability to influence to execute the project</t>
  </si>
  <si>
    <t>---</t>
  </si>
  <si>
    <t>Nada Mahardhika</t>
  </si>
  <si>
    <t>Study Abroad Assistant</t>
  </si>
  <si>
    <t>https://www.circles.life/sg/job-board/?gh_jid=4529490002</t>
  </si>
  <si>
    <t>PT Partner Impian Millenial (Schoters)</t>
  </si>
  <si>
    <t>linkedin.com/in/nadamahardhika</t>
  </si>
  <si>
    <t>nadamahardhika@gmail.com</t>
  </si>
  <si>
    <t>Datin Tarina Alysa Bachtiar, Study Abroad Expert</t>
  </si>
  <si>
    <t>Dinda Lutfiyah</t>
  </si>
  <si>
    <t>UI/UX Designer</t>
  </si>
  <si>
    <t>Schoters</t>
  </si>
  <si>
    <t>https://www.linkedin.com/in/dindalutfiyah/</t>
  </si>
  <si>
    <t>dlutfiyah@gmail.com</t>
  </si>
  <si>
    <t>Imre Nagi, Former CTO at Schoters</t>
  </si>
  <si>
    <t>"I decided to hire Dinda because of her curiosity and passion in conducting UI/UX research. And if I looked back, that was one of my best decision ever. She extremely cares to our user because she always listen to what our users say and put our user's opinion on top of everything. She asks a lot of questions, asks for feedbacks and always comes up with ideas for improvement in our team. I believe she will be good UI/UX researcher and leader in the future. Best wishes, Dinda!"</t>
  </si>
  <si>
    <t>PMO, Senior associate (Engineering operations)</t>
  </si>
  <si>
    <t>Safiah Alias</t>
  </si>
  <si>
    <t>Content Strategist</t>
  </si>
  <si>
    <t>Boogle Group</t>
  </si>
  <si>
    <t>https://www.linkedin.com/in/nursafiahalias/</t>
  </si>
  <si>
    <t>nursafiahalias@gmail.com</t>
  </si>
  <si>
    <t>To play a key role in driving strategic projects and initiatives within the Engineering department, and fostering cross-collaboration across different business functions to ensure successful delivery of Engineering projects.</t>
  </si>
  <si>
    <t>PMO experience: 3-5 years of relevant experience working for a business within a fast-paced and competitive environment
Handled and delivered complex engineering projects, ideally within a heavily matrix-ed organisation where s/he was able to demonstrate leadership and lead effectively through influencing
Demonstrable engineering acumen: with the relevant background in Engineering, Computer Science, or relevant degree
Attention to detail: Does not let important details slip through the cracks or derail a project.</t>
  </si>
  <si>
    <t>I saw it on LinkedIn</t>
  </si>
  <si>
    <t>Sofrie Jasman, Social Media Executive</t>
  </si>
  <si>
    <t xml:space="preserve">Safiah is a bright light, always coming up with ideas to move the team forward, rallying the team to produce pilots to pitch new ideas to our head of department.  </t>
  </si>
  <si>
    <t>none. I am a Singapore citizen.</t>
  </si>
  <si>
    <t>https://www.circles.life/sg/job-board/?gh_jid=4678560002</t>
  </si>
  <si>
    <t>Daria Kalista</t>
  </si>
  <si>
    <t>Operations Director/Platform implementation/Project Manager</t>
  </si>
  <si>
    <t>Swipe WiFi</t>
  </si>
  <si>
    <t>https://www.linkedin.com/in/daria-kalista-4b73b259/</t>
  </si>
  <si>
    <t>daria.kalista@gmail.com</t>
  </si>
  <si>
    <t>Mike Davie, CEO @ Quadrant</t>
  </si>
  <si>
    <t>Christina Chalk, Business Development Manager</t>
  </si>
  <si>
    <t xml:space="preserve">Daria’s leadership skills were a breath of fresh air and inspiration throughout my time working with her. He is the master of completing even the most demanding and seemingly impossible tasks - if you want to get things done, she is the person to turn to. Hard working, incredibly ambitious and a true team player. </t>
  </si>
  <si>
    <t>EP required</t>
  </si>
  <si>
    <t>Adream Bais Junior</t>
  </si>
  <si>
    <t>Digital Marketing Analyst</t>
  </si>
  <si>
    <t>https://www.linkedin.com/in/adream-bais-jr-0b7570136/</t>
  </si>
  <si>
    <t>adream.bais@gmail.com</t>
  </si>
  <si>
    <t>Marketing, BD and Partnerships, Engineering, Product</t>
  </si>
  <si>
    <t>Nabila Putri Salsabila, Associate Product Manager @ Traveloka</t>
  </si>
  <si>
    <t>Cybersecurity Operations, Lead</t>
  </si>
  <si>
    <t>Lead the Cyber Operations team within the Information Security team in Circles.Life. Be responsible for the building and day-to-day running of the Cyber Operations team.
Implement and Manage network security appliances, endpoint/mobile protections, patch management, devops security, and perimeter and cloud security measures.
Perform internal/external threat security assessments and take ownership to address the gaps.
Responsible in SOC-related work to actively monitor the organisation’s IT environment.</t>
  </si>
  <si>
    <t>I wasn't skeptical at all when decided to on board Adream, I easily spotted potential when met him during the interview. And everything came to a fact when he start working with others, he gave good vibe and balance teamwork. He's very open minded person, know when to listen and talk. His strength I would say is his critical thinking, neat and able to adapt in such fast pace. I highly recommend him to fit out your digital performance marketing team, look forward to working with him again the future! - Hendarmawan, Global Performance Marketing Manager @ Traveloka</t>
  </si>
  <si>
    <t>Require EP</t>
  </si>
  <si>
    <t>IT or security related certification is an advantage, but not a must.
Min.7 years’ experience in IT Security operations, with experience managing a team.
Knowledge of the following is a plus:
Telco operations;
Cloud Infrastructure and Security, DevSecOps, SOC Monitoring, Endpoint/Mobile
Security;
IT Security Consulting/Audit, Third Party Due Diligence, BCP, IT DRP;
Vulnerability Assessment and Penetration Testing;
Industry Standards such as ISO 27001, PDPA, NIST, PCI-DSS, MTCS and TRM.</t>
  </si>
  <si>
    <t>Jiren Ruan</t>
  </si>
  <si>
    <t>Senior Manager, Strategy and M&amp;A</t>
  </si>
  <si>
    <t>Zurich Insurance Group</t>
  </si>
  <si>
    <t>www.linkedin.com/in/ruan-jiren</t>
  </si>
  <si>
    <t>https://www.circles.life/sg/job-board/?gh_jid=4687045002</t>
  </si>
  <si>
    <t>ruan.jiren@gmail.com</t>
  </si>
  <si>
    <t>Sales, BD and Partnerships, Product, Finance, Data and analytics</t>
  </si>
  <si>
    <t>No Visa required for Singapore (Am a Singaporean)</t>
  </si>
  <si>
    <t>ADE AGUS PUTRA</t>
  </si>
  <si>
    <t>Senior Brand Marketing Executives</t>
  </si>
  <si>
    <t>Prioriti PTE LTD/PT Prioritas Persada Indonesia</t>
  </si>
  <si>
    <t>https://www.linkedin.com/in/adeagusputra/</t>
  </si>
  <si>
    <t>Public Relations Manager</t>
  </si>
  <si>
    <t xml:space="preserve">We are looking for a passionate, driven and results-oriented manager who can build organic awareness and traffic to the brand through leveraging the professional media with news pitches, relationship building and content creation.
This is a critical role reporting to the Head of Marketing with regular interaction with the founders, and aside from the abovementioned, the successful candidate will also be responsible for the corporate image of the company in the eyes of professional media, handling queries and crises as they arise.
This person needs to have a solid business understanding to be able to think strategically and communicate effectively with the relevant stakeholders on the various topics. 
This is a global role which is based in Singapore. </t>
  </si>
  <si>
    <t>adeagusputra@gmail.com</t>
  </si>
  <si>
    <t>Take ownership of all public relations operations, from messaging, positioning, pitching, content creation and partnership with professional media
Work alongside the various Heads of Departments to experiment and implement creative, unconventional and cost-effective growth strategies (which in turn will help to grow our subscriber base)
Oversee all aspects of our public relations department, including both internal and external communications, thought leadership, iterative PR measurement, to multimedia development &amp; visual storytelling
Evaluate important metrics that affect our various growth initiatives, app usage and target audience
Ensure alignment with other departments for region-wide campaigns and initiatives</t>
  </si>
  <si>
    <t>Firdaus Rizaldy Rizky, Project Finance Manager @ PT Medco Ratch Power Riau</t>
  </si>
  <si>
    <t>Cucu Permana, Senior Brand and Data Analytics Manager</t>
  </si>
  <si>
    <t>Cucu is a manager who knows how to work systematically. He has strong data analytical thinking and project management experience. He also good in maintaining work-life balance in the office.</t>
  </si>
  <si>
    <t>No Visa Requirements</t>
  </si>
  <si>
    <t>https://www.circles.life/sg/job-board/?gh_jid=4689540002</t>
  </si>
  <si>
    <t>Mangapul Parmonangan Damanik</t>
  </si>
  <si>
    <t>Property Manager</t>
  </si>
  <si>
    <t>RedDoorz Indonesia</t>
  </si>
  <si>
    <t>https://www.linkedin.com/in/mangapul-damanik-86106445/</t>
  </si>
  <si>
    <t>apuldamanik@gmail.com</t>
  </si>
  <si>
    <t>Marketing, Sales, BD and Partnerships, Data and analytics</t>
  </si>
  <si>
    <t>Andika Rinaldo - Grab</t>
  </si>
  <si>
    <t>Andika Rinaldo</t>
  </si>
  <si>
    <t>RIjal Samka</t>
  </si>
  <si>
    <t>Indonesian Passport</t>
  </si>
  <si>
    <t>Ghadhathara Raja PALANIKUMAR</t>
  </si>
  <si>
    <t>EventNook</t>
  </si>
  <si>
    <t>https://www.linkedin.com/in/raja94</t>
  </si>
  <si>
    <t>mailtograja@gmail.com</t>
  </si>
  <si>
    <t>Arnout Mostert, Founder- Accelerasia</t>
  </si>
  <si>
    <t xml:space="preserve">Revenue Assurance / Fraud Management </t>
  </si>
  <si>
    <t>Raja is an intelligent and resourceful Business Development professional. He has a positive, can-do attitude and delivers high quality of work. I have also observed that he really enjoys what he is doing and takes accountability on his work. He analyzes opportunities and researches companies to identify competitors as well as potential partners. I consider Raja as an asset to the team who consistently goes above and beyond.</t>
  </si>
  <si>
    <t>Currently EP holder</t>
  </si>
  <si>
    <t xml:space="preserve">Monitor all transactions and margins along the company’s revenue, billing and collection life cycle to minimize all intentional and unintentional leakages in a proactive manner. Demonstrate business understanding and act as a true business partner, balancing between growth and acceptable risk. </t>
  </si>
  <si>
    <t>Have 5+ years of relevant work experience (Ideally with a mixture of Revenue Assurance, Billing and Fraud Management experience) 
Possess 3+ years of digital/ technology/ start-up or related industry experience (Ideally with a strong understanding of telco backend systems) 
Holds a track record of leading finance functions with a data-driven approach (Ideally with experience of working with large volumes of data)</t>
  </si>
  <si>
    <t>Arpit Maheshwari</t>
  </si>
  <si>
    <t>Data Engineer</t>
  </si>
  <si>
    <t>https://www.linkedin.com/in/arpit-maheshwari-70a9a718/</t>
  </si>
  <si>
    <t>https://www.circles.life/sg/job-board/?gh_jid=4660151002</t>
  </si>
  <si>
    <t>arpit4maheshwari@gmail.com</t>
  </si>
  <si>
    <t>Dipesh Nebhnani, Data and Analytics Manager @ Traveloka</t>
  </si>
  <si>
    <t>Vivek Kamalaksan, Dipesh Nebhnani, Anmol Gautam, Didik Achmadi</t>
  </si>
  <si>
    <t>Demmy Putra</t>
  </si>
  <si>
    <t xml:space="preserve">Kumpul </t>
  </si>
  <si>
    <t>https://www.linkedin.com/in/demmy-anto-putra/</t>
  </si>
  <si>
    <t>demmyantoputra@gmail.com</t>
  </si>
  <si>
    <t>Instagram Ads</t>
  </si>
  <si>
    <t>Cendra, VP of Operations at Kumpul</t>
  </si>
  <si>
    <t>Adnan Ahmed Siddiqui</t>
  </si>
  <si>
    <t>CTO</t>
  </si>
  <si>
    <t>EMJAC</t>
  </si>
  <si>
    <t>https://www.linkedin.com/in/adnanah/</t>
  </si>
  <si>
    <t>Technical Lead</t>
  </si>
  <si>
    <t xml:space="preserve">You will be joining us as the first Technical Lead in Manila, responsible for the full stack developing, maintaining, and supporting the operation of a high-reliability transaction processing platform using Spring, Struts, Java and Serverless framework. </t>
  </si>
  <si>
    <t>8+ years of development experience with Java.
Computer Science degree or related (e.g., B.S., M.S., etc.)
Experience working with mobile operator billing systems is a big plus
Object Oriented analysis and design using common design patterns
Excellent knowledge of Relational Databases, SQL and NoSQL Databases
Experience in developing serverless applications in AWS (Lambda, API Gateway, DynamoDB) will be preferred
Knowledge in Typescript, ES6 is a requirement</t>
  </si>
  <si>
    <t>Coda Payments</t>
  </si>
  <si>
    <t>Manila, Philippines</t>
  </si>
  <si>
    <t>https://codapayments.bamboohr.com/jobs/view.php?id=103</t>
  </si>
  <si>
    <t>adnan.siddiqui@live.it</t>
  </si>
  <si>
    <t>Marketing, BD and Partnerships, Product, Ops, Data and analytics, Exec team, Design</t>
  </si>
  <si>
    <t>CEO, PiggyBack</t>
  </si>
  <si>
    <t>Arshin Yousef Zadeh Markhali</t>
  </si>
  <si>
    <t>Adnan is one of best problem solver and out of box thinker I ever worked with, he grasped vast knowledge over many operations and policy and also well versed with technological advancements. Having him in your team is a blessing as he is someone you can always count on.</t>
  </si>
  <si>
    <t>Valid work permit for Malaysia, Stuck in Singapore</t>
  </si>
  <si>
    <t>Vanessa Chong</t>
  </si>
  <si>
    <t>Growth Marketer</t>
  </si>
  <si>
    <t>ClassPass</t>
  </si>
  <si>
    <t>http://linkedin.com/in/vanessa-chong</t>
  </si>
  <si>
    <t>vchong@outlook.sg</t>
  </si>
  <si>
    <t>Marketing, BD and Partnerships, Accounting, Design</t>
  </si>
  <si>
    <t>Cecilia Koo, Senior Digital Marketing Associate @ ClassPass</t>
  </si>
  <si>
    <t>“Vanessa is extremely passionate about marketing and she is never afraid to get her hands dirty.  She is quick to pick up new skills, such as SQL, tableau, Google analytics, Braze and Sailthru.  Her strong excel knowledge helped contribute to analysis of post campaign performance and tests conducted, which allowed for learnings which were implemented for future campaigns. Her enthusiasm and positivity is infectious and motivates the team when things get challenging. She is not afraid to think out of the box to incorporate numerous requests from marketing leads, yet ensuring we stick to best practices. It is a real pleasure working with her! Having her on your team will definitely bring the business to greater heights!”</t>
  </si>
  <si>
    <t>None, singaporean</t>
  </si>
  <si>
    <t xml:space="preserve">Xuhong Zhang (Shirley) </t>
  </si>
  <si>
    <t xml:space="preserve">Electronic technician </t>
  </si>
  <si>
    <t>Samsung electronic company</t>
  </si>
  <si>
    <t xml:space="preserve">Shirley Zhang </t>
  </si>
  <si>
    <t>Shirleyzhanghong@gmail.com</t>
  </si>
  <si>
    <t>Sales, Engineering, Product</t>
  </si>
  <si>
    <t>Australia-Perth</t>
  </si>
  <si>
    <t xml:space="preserve">Brent, manager @apple store perth city </t>
  </si>
  <si>
    <t>Luis Salazar consultant @AWS</t>
  </si>
  <si>
    <t xml:space="preserve">Shirley has a very strongly can-do attitude to work and she is very friendly and positive when you are working with her. </t>
  </si>
  <si>
    <t xml:space="preserve">I am holding regional sponsors Australia visa </t>
  </si>
  <si>
    <t>Kartik Arora</t>
  </si>
  <si>
    <t>Full Stack Developer</t>
  </si>
  <si>
    <t>Software Engineer - Full stack</t>
  </si>
  <si>
    <t>Skyscanner</t>
  </si>
  <si>
    <t>LinkedIn.com/in/kartikarora</t>
  </si>
  <si>
    <t>Full stack developing of payment solutions and supporting of transaction processing platform.</t>
  </si>
  <si>
    <t>3 years of development experience with Java.
Object Oriented analysis and design using common design patterns
Excellent knowledge of Relational Databases, SQL and NoSQL Databases
Experience in developing serverless applications in AWS (Lambda, API Gateway, DynamoDB) will be preferred
Knowledge in Typescript, ES6 is a requirement</t>
  </si>
  <si>
    <t>Bangkok</t>
  </si>
  <si>
    <t>https://codapayments.bamboohr.com/jobs/view.php?id=51</t>
  </si>
  <si>
    <t>me@kartikarora.in</t>
  </si>
  <si>
    <t>Gail Lau</t>
  </si>
  <si>
    <t>Priya Chhetri - Senior Product Manager, Skyscanner</t>
  </si>
  <si>
    <t>Currently having an EPASS</t>
  </si>
  <si>
    <t>Sheila Hapsari F</t>
  </si>
  <si>
    <t>Finance Operations</t>
  </si>
  <si>
    <t>Eatsy Technologies</t>
  </si>
  <si>
    <t>https://www.linkedin.com/in/sheilahapsari397/</t>
  </si>
  <si>
    <t>sheilahapsari39@gmail.com</t>
  </si>
  <si>
    <t>Kyrie Canille, ex Growth Marketer @ Eatsy Technologies</t>
  </si>
  <si>
    <t>Shaun Heng, CEO @ Eatsy Technologies</t>
  </si>
  <si>
    <t>Eka Perwira Pratama Citra</t>
  </si>
  <si>
    <t>Founder Office Associate</t>
  </si>
  <si>
    <t>Gorry Holdings</t>
  </si>
  <si>
    <t>https://www.linkedin.com/in/ekacitra</t>
  </si>
  <si>
    <t>Business Analyst, Fraud Management</t>
  </si>
  <si>
    <t>ekap.online@gmail.com</t>
  </si>
  <si>
    <t>You will devise and implement processes, tools, and methods to identify, prevent and mitigate various forms of fraudulent behaviour. Working as part of Coda's Product Management team, you will drive various initiatives that help keep Coda, our partners and customers safe from malicious actors, and reduce the risk it poses to our business.
Identify and investigate suspicious patterns in Coda’s transaction data. Work towards automating this process. 
Understand and document patterns of known fraudulent behaviour, and possible methods to mitigate them. Collaborate with operative teams to improve fraud management workflows, and actively advise and support in ongoing concerns.
Identify system improvements to prevent fraudulent activities, and recommend and drive the implementation of tools for fraud detection, prevention and reporting.</t>
  </si>
  <si>
    <t>Marketing, Sales, BD and Partnerships, Engineering, Product, Finance, Data and analytics, Exec team, HR, People, Talent, Design</t>
  </si>
  <si>
    <t>Degree in Computer Science, Business Analytics or related quantitative fields
3+ years of experience in an analytical role related to fraud management  
Strong analytical and organization skills to be able to manage and interpret significant amounts of information with high accuracy.
Proficiency in SQL, and one or more data visualization tool (Tableau, chartIO, power BI etc). Skills in Python and non-relational databases (e.g. DynamoDB) is a plus.</t>
  </si>
  <si>
    <t>adhitama akosah, founder office</t>
  </si>
  <si>
    <t>aditama akosah, founder office</t>
  </si>
  <si>
    <t>https://codapayments.bamboohr.com/jobs/view.php?id=96</t>
  </si>
  <si>
    <t>Xena Levina</t>
  </si>
  <si>
    <t>Interaction Designer</t>
  </si>
  <si>
    <t>https://www.linkedin.com/in/xenalevina/</t>
  </si>
  <si>
    <t>xenalevina.kazu@gmail.com</t>
  </si>
  <si>
    <t>Torbjørn Aksdal @ Traveloka</t>
  </si>
  <si>
    <t>Bayu Amus, Design Lead</t>
  </si>
  <si>
    <t>Dhea Sekararum, Design Lead</t>
  </si>
  <si>
    <t>Tobias</t>
  </si>
  <si>
    <t>Product Designer</t>
  </si>
  <si>
    <t>https://id.linkedin.com/in/fransiscustobias</t>
  </si>
  <si>
    <t>fransiscus.tobias@yahoo.com.sg</t>
  </si>
  <si>
    <t>Xena Levina, Interaction designer @ Traveloka.com</t>
  </si>
  <si>
    <t>Dara Tasha</t>
  </si>
  <si>
    <t>Country Manager, Gaming/Esports</t>
  </si>
  <si>
    <t>UX/ Interaction Designer</t>
  </si>
  <si>
    <t>http://linkedin.com/in/tashadara</t>
  </si>
  <si>
    <t>Formulate Coda's strategy for and drive its growth in the country
Establish and manage partnerships with payments companies and digital product distributors like e-commerce sites, arranging for them to collect payments for Coda and its network of digital content publishers or to distribute digital gaming products to their users
Propose marketing activities for Codashop
Engage with Codashop users and advocate for product development to meet their needs internally
Serve as a liaison between Coda’s other functions and our suppliers and other partners in the country</t>
  </si>
  <si>
    <t>At least 5 years of business development or marketing experience in the gaming industry in the local market
Fluent in English
Knowledge of the payments landscape 
Entrepreneurial and self-motivated
Keen interest in the tax, legal, and regulatory dimensions of cross-border business</t>
  </si>
  <si>
    <t>Manila, Philippines / Kuala Lumpur, Malaysia</t>
  </si>
  <si>
    <t>https://codapayments.bamboohr.com/jobs/</t>
  </si>
  <si>
    <t>daratasha@gmail.com</t>
  </si>
  <si>
    <t>Torbjorn Aksdal, Design Lead @ Traveloka</t>
  </si>
  <si>
    <t>Torbjorn Aksdal , Design Lead</t>
  </si>
  <si>
    <t>Tasha, while still young already has ample experience in the field and the potential to grow to a solid product or service designer in a short time. She showcased a keen curiosity, unafraidness in face of authority, and all round enthusiasm and initiative surrounding her work.</t>
  </si>
  <si>
    <t>Tan Wei Ming Melvin</t>
  </si>
  <si>
    <t>Wowoo Exchange Singapore</t>
  </si>
  <si>
    <t>https://www.linkedin.com/in/melvin-tan-wm/</t>
  </si>
  <si>
    <t>There are 2 openings, one in Malaysia and the other in Philippines. Please scroll it to the bottom of the careers page and look for Regional Management</t>
  </si>
  <si>
    <t>therealmeltan@gmail.com</t>
  </si>
  <si>
    <t>Junus Eu, VP,  @ Hera Capital</t>
  </si>
  <si>
    <t>Ashish Varma , CEO @ Wowoo Exchange Singapore</t>
  </si>
  <si>
    <t>Melvin is detailed, hardworker. He brings good different perspectives to the table. Great to have him around.</t>
  </si>
  <si>
    <t>Glen Susanto</t>
  </si>
  <si>
    <t>Multimedia Specialist - Video Producer</t>
  </si>
  <si>
    <t>Dokter Sehat</t>
  </si>
  <si>
    <t>https://www.linkedin.com/in/gegelen/</t>
  </si>
  <si>
    <t>Influencer Marketing Associate</t>
  </si>
  <si>
    <t xml:space="preserve">Develop and execute influencer marketing strategies and creative campaigns
Manage Influencer campaigns from conception to execution including identifying and evaluating, negotiating, contracting, briefing and invoicing influencers 
Identify and build relationships with prominent influencers and thought leaders in the gaming industry
Attend relevant events for networking and business purposes
Develop content ideas and write and curate content
Research relevant industry experts, competitors, target audience and users
Brainstorm new, creative approaches to influencer campaigns
Keep abreast of emerging trends, technologies and influencers
Liaise with the marketing team to create and coordinate influencer marketing strategies that work across different channels </t>
  </si>
  <si>
    <t xml:space="preserve">Proven track record in outreach campaign strategies
In depth knowledge of social media marketing industry
Impeccable verbal and written communication skills
Well organised and good time management skills
Outstanding project management skills
Excellent interpersonal and relationship building skills
Aptitude to network </t>
  </si>
  <si>
    <t>Jakarta, Indonesia</t>
  </si>
  <si>
    <t>glensusanto@live.com</t>
  </si>
  <si>
    <t>https://codapayments.bamboohr.com/jobs/view.php?id=118</t>
  </si>
  <si>
    <t>Maria Natashia, Investment Manager @PT Prasetia Dwidharma</t>
  </si>
  <si>
    <t>Scholastika Christiffany, National Key Account Manager</t>
  </si>
  <si>
    <t>Glen is a detail person and expect the best for his company. He will assure all the plan will be done smoothly by maintain good communication. Working with him, I learned to stay focus and followed all the plan to aim the best result.</t>
  </si>
  <si>
    <t>Work permit</t>
  </si>
  <si>
    <t>David Riswanto</t>
  </si>
  <si>
    <t>Design Facilitator (previously: People Engagement Lead)</t>
  </si>
  <si>
    <t>https://www.linkedin.com/in/davidriswanto/</t>
  </si>
  <si>
    <t>david.riswanto@gmail.com</t>
  </si>
  <si>
    <t>HR, People, Talent, Design</t>
  </si>
  <si>
    <t>Amelia, VP of Design</t>
  </si>
  <si>
    <t>Shawn Lau</t>
  </si>
  <si>
    <t>Head of Commercial</t>
  </si>
  <si>
    <t>Grab Financial Group (Insurance)</t>
  </si>
  <si>
    <t>https://www.linkedin.com/in/shawn-lau-56348430/</t>
  </si>
  <si>
    <t>shawn.lau.88@gmail.com</t>
  </si>
  <si>
    <t>Influencer and Affiliate Marketing Manager</t>
  </si>
  <si>
    <t>Clarence Leow (Product Marketing)</t>
  </si>
  <si>
    <t>Spearhead the influencer and affiliate marketing efforts to maximise revenue, distribution and promotional exposure for Coda’s products 
Research and identify the industry trends, content and partnership opportunities within the influencer and affiliate space across the various regions that we operate in
Devise and implement influencer marketing strategies with integrated localization efforts in various markets that impacts the subscriber acquisition, engagement and retention
Collaborate with local marketing teams to track the effectiveness of local campaigns and optimize to ensure maximum impact
Lead and manage end-to-end implementation of influencer campaigns and integrated marketing plans across all markets</t>
  </si>
  <si>
    <t>Shawn is a highly motivated self-starter who takes pride in his work and strives to exceed expectations in everything he does. He takes time out to patiently guide and mentor others, and is a true believer in people empowerment, as well as a strong camaraderie culture.</t>
  </si>
  <si>
    <t>Bachelor’s degree in BA/Marketing
At least  5 years of relevant experience preferred
Strong knowledge of influencers, fees and performance benchmarks relevant in the gaming industry
Good understanding of the influencer industry trends and best practices
Ability to provide strategic insight to develop and implement scalable and long-term execution plans 
Excellent communication and writing skills 
Able to demonstrate creativity, hands-on execution, problem-solving, and multitasking
Data driven, well-organized and detail-oriented</t>
  </si>
  <si>
    <t>Mochammad Rizsky Adytama Pranada</t>
  </si>
  <si>
    <t>Design Facilitator</t>
  </si>
  <si>
    <t>https://www.linkedin.com/in/chardaadytamapranada/</t>
  </si>
  <si>
    <t>https://codapayments.bamboohr.com/jobs/view.php?id=107</t>
  </si>
  <si>
    <t>chardaadytama@gmail.com</t>
  </si>
  <si>
    <t>Product, Ops, Design</t>
  </si>
  <si>
    <t>Amelia Hendra,  VP of Design @ Traveloka &amp; Torbjorn Aksdal, Design Lead @ Traveloka</t>
  </si>
  <si>
    <t>Torbjorn Aksdal, Design Lead; Amelia Hendra, VP of Design</t>
  </si>
  <si>
    <t>Required working Visa</t>
  </si>
  <si>
    <t>Regina Wiriadinata</t>
  </si>
  <si>
    <t>Content Strategy Analyst</t>
  </si>
  <si>
    <t>www.linkedin.com/in/reginawiriadinata</t>
  </si>
  <si>
    <t>reginawiriadinata@gmail.com</t>
  </si>
  <si>
    <t>Marketing, Product, Design</t>
  </si>
  <si>
    <t>LinkedIn post</t>
  </si>
  <si>
    <t>Stefanus Bagus Yudananto Nugroho</t>
  </si>
  <si>
    <t>Offline Marketing Specialist</t>
  </si>
  <si>
    <t>https://www.linkedin.com/in/stefanusbagus/</t>
  </si>
  <si>
    <t>Leading the team through management and mentorship,
Contributing to recruitment activities,
Developing standards and procedures to ensure that quality standards are met and consistent, preparing and optimizing budgets,  
Recommending technological developments and improvements on efficiency,
Developing the team to ensure quality end products.</t>
  </si>
  <si>
    <t>Experiences on leading tech team start-up at least with solid 5+ years is a must, strong organisational leadership skill.
Strong design skills, understanding of design patterns and ability to define intuitive and usable software interfaces
Experience implementing high performance and scalable systems and solving scalability issues.
Experiences in recruiting engineers and contributors, strong knowledge of data structures &amp; algorithms, knowledge of industry trends, best practices and change management, has experiences with software design &amp; developing customer-oriented platforms.
Strong leadership skills with the ability to lead distributed technical teams while actively interfacing with senior leadership
Extensive experience in working with stakeholders to create hiring strategies to develop quality teams,</t>
  </si>
  <si>
    <t>GudangAda</t>
  </si>
  <si>
    <t>Marketplace for FMCG seller (B2B)</t>
  </si>
  <si>
    <t>https://gudangada.urbanhire.com/</t>
  </si>
  <si>
    <t>bagus.stefanus@rocketmail.com</t>
  </si>
  <si>
    <t>Caesar Indra - CEO Transport Traveloka</t>
  </si>
  <si>
    <t>Raphael Chabaud</t>
  </si>
  <si>
    <t>Sales Director SEA</t>
  </si>
  <si>
    <t>Digital Business Lab</t>
  </si>
  <si>
    <t>https://www.linkedin.com/in/raphaelchabaud/</t>
  </si>
  <si>
    <t>raphaelchabaud@gmail.com</t>
  </si>
  <si>
    <t>Simin @ Futurelabs</t>
  </si>
  <si>
    <t>Hattie Trounce</t>
  </si>
  <si>
    <t>Raphael is a great asset to the team. He is a fast learner and forward thinker, who has a great grasp on the sales process, as well as the digital marketing discipline. He's very approachable and out-going and would be a brilliant hire.</t>
  </si>
  <si>
    <t>Apply via the URL Link or directly to swarie.ayuningtyas@gudangada.com</t>
  </si>
  <si>
    <t>Andriod Developer</t>
  </si>
  <si>
    <t>Build advance applications for Android Platform
Work on Bug fixing and improving application performance
Implement new technologies to maximize development efficiency</t>
  </si>
  <si>
    <t>Marketing, Sales, BD and Partnerships, Product, Ops</t>
  </si>
  <si>
    <t>BS/MS degree in Computer Science, Engineering or a related subject
Min. 1  years of Android development experience
Have published at least one original Android app
Experience with Android SDK and kotlin
Experience working with remote data via REST and JSON
Experience with third-party libraries and APIs</t>
  </si>
  <si>
    <t xml:space="preserve">Singaporean </t>
  </si>
  <si>
    <t>Vinchi Cuyegkeng</t>
  </si>
  <si>
    <t>Chief Business Officer</t>
  </si>
  <si>
    <t>iVideosmart</t>
  </si>
  <si>
    <t>https://www.linkedin.com/in/vinchi-cuyegkeng-1b8445/</t>
  </si>
  <si>
    <t>vinchic@yahoo.com</t>
  </si>
  <si>
    <t>Gail Lau, Partner at Heydey</t>
  </si>
  <si>
    <t>Nishant Saxena</t>
  </si>
  <si>
    <t>Head of Supply</t>
  </si>
  <si>
    <t>https://www.linkedin.com/in/nishantsaxena09/</t>
  </si>
  <si>
    <t>nishantsaxena09@gmail.com</t>
  </si>
  <si>
    <t xml:space="preserve">Have EP. Would need EP for new role. </t>
  </si>
  <si>
    <t>Nikki Antonio Saputra</t>
  </si>
  <si>
    <t>Product Researcher</t>
  </si>
  <si>
    <t>.Net Developer</t>
  </si>
  <si>
    <t>Gredu</t>
  </si>
  <si>
    <t>http://linkedin.com/in/nikkiantonio</t>
  </si>
  <si>
    <t>Collaborate with internal teams to produce software design and architecture
Write clean, scalable code using .NET programming languages
Test and deploy applications and systems
Producing code using .NET languages (C#, VB .NET)</t>
  </si>
  <si>
    <t>Proven experience as a .NET Developer or Application Developer
Familiarity with the ASP.NET framework, SQL Server and design/architectural patterns (e.g. Model-View-Controller (MVC))
Knowledge of at least one of the .NET languages (e.g. C#, Visual Basic .NET) and HTML5/CSS3
Understanding of Agile methodologies
Excellent troubleshooting and communication skills
Attention to detail
BSc/BA in Computer Science, Engineering or a related field</t>
  </si>
  <si>
    <t>nikkisaputra@gmail.com</t>
  </si>
  <si>
    <t>Mohammad Fachri, CTO @ Gredu</t>
  </si>
  <si>
    <t>Erita Narhetali, Lecturer @ Universitas Indonesia &amp; PhD candidate @ Univwersytet Warszawski</t>
  </si>
  <si>
    <t>Noorman Arta Wicaksono, Product Manager Administration @ Gredu</t>
  </si>
  <si>
    <t>Mohammed Jamil Nasir</t>
  </si>
  <si>
    <t>FCS Computer Systems (Hospitality Tech)</t>
  </si>
  <si>
    <t>https://www.linkedin.com/in/mohammedjamilnasir/</t>
  </si>
  <si>
    <t>md.j.nasir@gmail.com</t>
  </si>
  <si>
    <t>Christiaan Ballard's LinkedIn post</t>
  </si>
  <si>
    <t>Peter Tan (Project Manager - Operations / Customer Success)</t>
  </si>
  <si>
    <t>Sandeep Menon - Founder Serv.sg</t>
  </si>
  <si>
    <t>Employment Pass in Singapore</t>
  </si>
  <si>
    <t>Project Manager</t>
  </si>
  <si>
    <t>Sensorflow Pte Ltd</t>
  </si>
  <si>
    <t>linkedin.com/in/nikitarshaha</t>
  </si>
  <si>
    <t>DBA/API Developer</t>
  </si>
  <si>
    <t>Managing  Data Integrity, Decide data recovery &amp; Backup method
Tuning database performance
Maintenance Capacity Issues 
Database design
Validation checks on data,
Monitoring performance 
Improve query processing performance, business alignment with query scripting
Maintenance API Routing &amp; Scripting
Checking Healthy check database</t>
  </si>
  <si>
    <t>Hold certification for DBA &amp; Very Good Logic thinking
Knowing business Logic
Ability in SQL Scripting(especially SQL Server, MySQL, and SQLite)
Proficiency on API (Golang or .NET Core)
Knowledge on maintaining the integrity &amp; performance of database
Data stored securely &amp; Optimal
Ensuring security Company’s Data</t>
  </si>
  <si>
    <t>nikitarshaha@gmail.com</t>
  </si>
  <si>
    <t>Ops, Data and analytics, Exec team</t>
  </si>
  <si>
    <t>Sai, Founder @ Sensorflow Pte Ltd</t>
  </si>
  <si>
    <t>Leigh Riley</t>
  </si>
  <si>
    <t>Bagas Napitupulu</t>
  </si>
  <si>
    <t>Ibunda.id</t>
  </si>
  <si>
    <t>https://id.linkedin.com/in/bagaschristian</t>
  </si>
  <si>
    <t>bagaschristian.work@gmail.com</t>
  </si>
  <si>
    <t>Chia Jeng Yang @ Twitter</t>
  </si>
  <si>
    <t>Bunga Indira Artha as Product Lead @ Ibunda.id</t>
  </si>
  <si>
    <t xml:space="preserve">Bagas is someone with a lot of curiosity and vigorous to learn new things. He is willing to invest his time in exploring alternatives needed to solve a problem. To finish his job well, he needs a clear guideline and enough resources. </t>
  </si>
  <si>
    <t>I don't have one</t>
  </si>
  <si>
    <t>PAUL SEELAN MATHI MALAR</t>
  </si>
  <si>
    <t>Levi Strauss, Singapore</t>
  </si>
  <si>
    <t>www.linkedin.com/in/malarpaul</t>
  </si>
  <si>
    <t>System Analyst</t>
  </si>
  <si>
    <t>Determining computer system requirements by defining and analyzing system problems, designing and testing standards and solutions.
Defines application problem by conferring with clients,
Evaluating procedures and process
Develops solution by preparing and evaluating alternative workflow solutions,
Controls solution by preparing and evaluating alternative workflow solutions,
Control solution by establishing specifications and coordinating production with programmers,
Validate results by testing programs,
Ensure operation by training client personnel and providing support,
Provides references by writing documentation,
Accomplishes information systems and organization mission by completing related results as needed.</t>
  </si>
  <si>
    <t>Bachelor’s degree in computer science or information technology, or equivalent experience,
5-6 experience working with information technologies and system analysis, strong computer, hardware, software, and analytical skills,
proven ability to assess business needs and translate them into relevant solutions,
strong understanding and knowledge of the principles and practices associated with database maintenance and administration,
experience installing, configuring, documenting, testing, training and implementing new applications and system,
Working know how to wide variety of programming languages,
Excellent analytical skills.</t>
  </si>
  <si>
    <t>PS_MALAR@YAHOO.COM</t>
  </si>
  <si>
    <t>BD and Partnerships, Data and analytics, Design</t>
  </si>
  <si>
    <t>Frank Lee, Venture Investments, Offshore Tech Teams</t>
  </si>
  <si>
    <t xml:space="preserve">Singapore Permanent Residence </t>
  </si>
  <si>
    <t>Veli Prima Anggono</t>
  </si>
  <si>
    <t>CRM - Incubation Channel &amp; Affiliate Marketing Supervisor</t>
  </si>
  <si>
    <t>The F Thing</t>
  </si>
  <si>
    <t>https://www.linkedin.com/in/veliprima/</t>
  </si>
  <si>
    <t>veliprima@gmail.com</t>
  </si>
  <si>
    <t>Riki A. Kusnadi, Customer Success Manager @ OWOX BI</t>
  </si>
  <si>
    <t>Nikita Virani</t>
  </si>
  <si>
    <t xml:space="preserve">Venture Associate </t>
  </si>
  <si>
    <t>Rainmaking</t>
  </si>
  <si>
    <t>https://www.linkedin.com/in/nikitavirani/</t>
  </si>
  <si>
    <t>Cyber Security Specialist</t>
  </si>
  <si>
    <t>Cyber Security Specialist is responsible for providing security during the development stages of software systems, networks and data centers. 
Manage and Monitor any attacks and intrusions.
Analyzing security measures taken to protect information.
Testing for and correcting possible weaknesses or openings.
Configuring security programs and tools.</t>
  </si>
  <si>
    <t>viraninikita@gmail.com</t>
  </si>
  <si>
    <t>BSc/BA in Computer Science, Information Technology or a related field;  professional certification (e.g. CompTIA Security+, CISSP) is a plus
Proven experience as a Computer Security Specialist
Programming skills are preferred (e.g. knowledge of C++, Golang languages)
Familiarity with security frameworks (e.g. NIST Cybersecurity framework) and risk management methodologies
Knowledge of patch management, firewalls, and intrusion detection/prevention systems (e.g. TippingPoint)
Familiarity with public key infrastructure (PKI) and cryptographic protocols (e.g. SSL/ TLS)
An analytical mind with excellent problem-solving ability</t>
  </si>
  <si>
    <t>Saw on LinkedIn</t>
  </si>
  <si>
    <t>Dependant’s Pass Holder (DP) – Eligible for LOC (letter of consent)</t>
  </si>
  <si>
    <t>Susilawati</t>
  </si>
  <si>
    <t>Regional Commercial Manager</t>
  </si>
  <si>
    <t>OWOX BI</t>
  </si>
  <si>
    <t>https://www.linkedin.com/in/susilawati/</t>
  </si>
  <si>
    <t>susila.habib@gmail.com</t>
  </si>
  <si>
    <t>Joddy W Kusumo, Commercial Manager Circle life</t>
  </si>
  <si>
    <t>Cunning, decisive, and determined are her best traits. She is very passionate when it comes to strategic planning. Likes to challenge the team to achieve higher target. Brings inspiring positive vibes for the team in every situation.</t>
  </si>
  <si>
    <t>Selma Soraya</t>
  </si>
  <si>
    <t>Administrative Operations</t>
  </si>
  <si>
    <t>ASTRA Sport</t>
  </si>
  <si>
    <t>https://www.linkedin.com/in/selma-soraya-476282151/</t>
  </si>
  <si>
    <t>selmasoraya178@gmail.com</t>
  </si>
  <si>
    <t>Michelle, People Operations Associate @ Brankas</t>
  </si>
  <si>
    <t>Sheryel Teng</t>
  </si>
  <si>
    <t xml:space="preserve">Arcus Financial </t>
  </si>
  <si>
    <t>https://www.linkedin.com/in/sheryelteng/</t>
  </si>
  <si>
    <t>We are looking to build a new dating platform for the affluent community as one of our latest project launches.
We are looking for a Full Stack Developer. You’ll be working closely with the Co-founders and will be responsible for the full development life cycle, from conception to deployment of the platform (front end and back end).
As a Full Stack Developer, you should be comfortable around both front-end and back-end coding languages, development frameworks and third-party libraries. You should also be a team player with a knack for visual design and utility. As well as has experience in integration of API for payment gateways or processors such as Paypal.
If you’re ambitious and are looking to accelerate your career growth, especially in a new exciting startup, we would like to meet you.
Your job scope includes : 
- Developing front-end and back-end
- Developing interactive website
- Creating database
- Maintaining website</t>
  </si>
  <si>
    <t>Minimum 3 years of relevant experience
Proven experience as a Full Stack Developer or similar role
Experience developing website that's also mobile web friendly
Familiarity with common stacks
Knowledge of multiple front-end languages and libraries (e.g. HTML/ CSS, JavaScript, XML, jQuery)
Knowledge of multiple back-end languages (e.g. C#, Java, Python) and JavaScript frameworks (e.g. Angular, React, Node.js)
Familiarity with databases (e.g. MySQL, MongoDB), web servers (e.g. Apache) and UI/UX design
Experience in integrating APIs to website
Able to communicate effectively in written and verbal English
Strong problem solving and communication skills
Degree in Computer Science, Statistics or relevant field</t>
  </si>
  <si>
    <t>Bolt Ventures</t>
  </si>
  <si>
    <t>Social dating platform</t>
  </si>
  <si>
    <t>https://id.indeed.com/job/high-pay-full-stack-developer-29b5b94f2d004cc9</t>
  </si>
  <si>
    <t>sheryelt@gmail.com</t>
  </si>
  <si>
    <t>seen on Aileen Sim's Linkedin</t>
  </si>
  <si>
    <t>Vinay Palathinkal, BD + Product at Arcus. Denis Edward Founder of NEWYORK.SG. Daen Huang Team Manager at Hays.</t>
  </si>
  <si>
    <t>SG citizen</t>
  </si>
  <si>
    <t>Martin Geiger</t>
  </si>
  <si>
    <t>Head of Corporate Talent Acquisition</t>
  </si>
  <si>
    <t>Circles Life Technology</t>
  </si>
  <si>
    <t>https://www.linkedin.com/in/martingeiger/</t>
  </si>
  <si>
    <t>Click and apply on the link provided</t>
  </si>
  <si>
    <t>charles.asamoah@outlook.com</t>
  </si>
  <si>
    <t>Gail Lau @ heyday</t>
  </si>
  <si>
    <t>Not required (in Singapore)</t>
  </si>
  <si>
    <t xml:space="preserve">Adhish Singh </t>
  </si>
  <si>
    <t xml:space="preserve">Data Science and Strategy Intern </t>
  </si>
  <si>
    <t xml:space="preserve">FINBOTS AI Solutions Pte </t>
  </si>
  <si>
    <t>https://www.linkedin.com/in/adhish-singh</t>
  </si>
  <si>
    <t>Senior Full Stack Developer</t>
  </si>
  <si>
    <t>We are looking to build a new dating platform for the affluent community as one of our latest project launches.
We are looking for a Senior Developer. You’ll be working closely with the Co-founders and will be leading the full development life cycle, from conception to deployment of the platform (front end and back end).
As a Senior Developer, you should have experience in leading a team and are comfortable around both front-end and back-end coding languages, development frameworks and third-party libraries. You should also be a team player with a knack for visual design and utility. As well as has experience in integration of API for payment gateways or processors such as Paypal.
If you’re ambitious and are looking to accelerate your career growth, especially in a new exciting startup, we would like to meet you.
Your job scope includes:
- Developing front-end and back-end
- Developing interactive website
- Creating database
- Lead and coordinate work with other developers to run development sprints
- Use development project management tools such as JIRA, Bitbucket
- Maintaining website</t>
  </si>
  <si>
    <t>Minimum 5 years of relevant experience
Proven experience as a Full Stack Developer or similar role
Experience developing website that's also mobile web friendly
Familiarity with common stacks
Knowledge of multiple front-end languages and libraries (e.g. HTML/ CSS, JavaScript, XML, jQuery)
Knowledge of multiple back-end languages (e.g. C#, Java, Python) and JavaScript frameworks (e.g. Angular, React, Node.js)
Familiarity with databases (e.g. MySQL, MongoDB), web servers (e.g. Apache) and UI/UX design
Experience in integrating APIs to website
Able to communicate effectively in written and verbal English
Strong problem solving and communication skills
Degree in Computer Science, Statistics or relevant field</t>
  </si>
  <si>
    <t>s.adhish@yahoo.com</t>
  </si>
  <si>
    <t>Sales, Product, Finance, Data and analytics</t>
  </si>
  <si>
    <t xml:space="preserve">LinkedIn connection </t>
  </si>
  <si>
    <t xml:space="preserve">Sanjay Uppal, Balaji Ramaswamy </t>
  </si>
  <si>
    <t>https://id.indeed.com/job/high-pay-senior-full-stack-developer-b1aac71d0959180a</t>
  </si>
  <si>
    <t>Lea Rosiana Sentausa</t>
  </si>
  <si>
    <t>Campaign and Promotion Manager</t>
  </si>
  <si>
    <t>OYO Indonesia</t>
  </si>
  <si>
    <t>https://www.linkedin.com/in/lea-rosiana-sentausa-5b125930</t>
  </si>
  <si>
    <t>lea.rosiana.sentausa@gmail.com</t>
  </si>
  <si>
    <t>Headhunter from Linkedin</t>
  </si>
  <si>
    <t>Ashish Mahajan</t>
  </si>
  <si>
    <t>Associate Director CRM</t>
  </si>
  <si>
    <t>https://www.linkedin.com/mwlite/in/ashish-mahajan-5661067</t>
  </si>
  <si>
    <t>ashishmahajan81@gmail.com</t>
  </si>
  <si>
    <t>Strait Times</t>
  </si>
  <si>
    <t>iOS Developer (Junior / Senior)</t>
  </si>
  <si>
    <t>- Design and build application for our iOS platform
- Collaborating with the design team to define app features
- Collaborate with cross-functional teams to define, design, and ship new feature
- Ensure the performance, quality, and responsiveness of applications
- Troubleshoot code for edge usability, reliability, and edge cases</t>
  </si>
  <si>
    <t>Guy Alan Hudson</t>
  </si>
  <si>
    <t>Sales Manager</t>
  </si>
  <si>
    <t>linkedin.com/in/guy-hudson-56716539</t>
  </si>
  <si>
    <t>- Open for Thai or Foreigners
- Bachelor’s degree in Computer Science, Engineering or a related field
- At least 1 year of experience in iOS Developer  for Junior level
- At least 5 years of experience for Senior Level
- Proficient with Swift 5+
- A passion for technology and the ability to learn new concepts quickly
- Solid understanding of the full mobile development life cycle</t>
  </si>
  <si>
    <t>guyalanhudson@gmail.com</t>
  </si>
  <si>
    <t>GoWabi</t>
  </si>
  <si>
    <t>Victoriya Management Associate Sensorflow</t>
  </si>
  <si>
    <t xml:space="preserve">Lifestyle / Marketplace / Beauty &amp; Wellness
</t>
  </si>
  <si>
    <t>Luke Milligan Senior Sales Manager</t>
  </si>
  <si>
    <t xml:space="preserve">Guy is one of the most enthusiastic people I know, he is a great team player and always someone I look to for morale boost. </t>
  </si>
  <si>
    <t>DP</t>
  </si>
  <si>
    <t>https://jobs.blognone.com/company/gowabi/job/ios-developer-junio-9vtm</t>
  </si>
  <si>
    <t>Vedant Mour</t>
  </si>
  <si>
    <t>XSEED Education Private Limited</t>
  </si>
  <si>
    <t>https://www.linkedin.com/in/vedantmour/</t>
  </si>
  <si>
    <t>mour0001@e.ntu.edu.sg</t>
  </si>
  <si>
    <t>BD and Partnerships, Accounting, Finance, Ops</t>
  </si>
  <si>
    <t>Linkedin community</t>
  </si>
  <si>
    <t>Currently on Student Pass</t>
  </si>
  <si>
    <t>Rendy Alfuadi</t>
  </si>
  <si>
    <t>Computer Engineering</t>
  </si>
  <si>
    <t>Homecare24.id</t>
  </si>
  <si>
    <t>Apply through the link</t>
  </si>
  <si>
    <t>https://www.linkedin.com/in/rendy-alfuadi-60300310b/</t>
  </si>
  <si>
    <t>VENTURE CAPITAL ASSOCIATE</t>
  </si>
  <si>
    <t>Rendy.alfuadi30@gmail.com</t>
  </si>
  <si>
    <t>Adi Ferdian, VP Tech Sampingan.id</t>
  </si>
  <si>
    <t>"Rendy had strong leadership, Good Communicator and good sense of entrepreneurship"</t>
  </si>
  <si>
    <t>none</t>
  </si>
  <si>
    <t>Rahul Srivastava</t>
  </si>
  <si>
    <t>Assistant Manager</t>
  </si>
  <si>
    <t>PwC Dubai</t>
  </si>
  <si>
    <t>We're looking for a Venture Capital Associate. We invest globally, Pre-Seed to Series B, in everything (not literally). Still investing now. Hiring the best to work with the best.</t>
  </si>
  <si>
    <t>https://www.linkedin.com/in/rahulisb/</t>
  </si>
  <si>
    <t>Smart, hungry people who want to hunt, think and build. 1-4 years experience.</t>
  </si>
  <si>
    <t>rahul.srivastava@outlook.com</t>
  </si>
  <si>
    <t>BD and Partnerships, Ops, Data and analytics, Exec team</t>
  </si>
  <si>
    <t>C K Vishwakarma, Founder @ IoTSG</t>
  </si>
  <si>
    <t>Require EP for Singapore; HK and Canada work authorisation</t>
  </si>
  <si>
    <t>Nur Arina Rohaizad</t>
  </si>
  <si>
    <t>Zenyum</t>
  </si>
  <si>
    <t>https://www.linkedin.com/in/nurarina210296/</t>
  </si>
  <si>
    <t>nurarina210296@gmail.com</t>
  </si>
  <si>
    <t xml:space="preserve">Julian, Zenyum </t>
  </si>
  <si>
    <t>Wilson Lienaldi</t>
  </si>
  <si>
    <t>Video Editor</t>
  </si>
  <si>
    <t>https://www.linkedin.com/in/wilson-lienaldi-7a662917a/</t>
  </si>
  <si>
    <t>https://saisoncapital.com/</t>
  </si>
  <si>
    <t>wilsonlienaldi@gmail.com</t>
  </si>
  <si>
    <t>Wilson is always curious and have a big willing to grow in skills and personal growth. He has amazing skills with animation, motion graphic, and video editing.</t>
  </si>
  <si>
    <t>Jesslyn Tania Sulaiman</t>
  </si>
  <si>
    <t>Emerging Product Accounting &amp; Process Improvement</t>
  </si>
  <si>
    <t>https://www.linkedin.com/in/jesslyn-t-601a6853/</t>
  </si>
  <si>
    <t>jesslyn.tania@hotmail.com</t>
  </si>
  <si>
    <t>Felicia Marson (HR @ Traveloka)</t>
  </si>
  <si>
    <t>Tan Wei Pin (Regional Finance Manager @Grab)</t>
  </si>
  <si>
    <t>Dimy Ferdiana</t>
  </si>
  <si>
    <t>UI/UX Designer &amp; Visual Designer</t>
  </si>
  <si>
    <t>https://www.linkedin.com/in/dimyferdiana/</t>
  </si>
  <si>
    <t>Associate Product Manager</t>
  </si>
  <si>
    <t>dimyferdi@gmail.com</t>
  </si>
  <si>
    <t>Fikri Rahman, Visual Designer @ Traveloka.com</t>
  </si>
  <si>
    <t>Yehezkiel C. Gulo, Accommodation Design Lead @ Traveloka.com</t>
  </si>
  <si>
    <t>Indonesian Citizen</t>
  </si>
  <si>
    <t>Lok Li Qi Anglela</t>
  </si>
  <si>
    <t>- Partner with Product Manager leads as we evolve Ajaib and help customers get more out of their investing experience.
- Collaborate across teams and contribute insights, ideas, and features into crafting a cohesive product roadmap strategy.
- Work with Engineering and UX teams to define product goals and deliver key features. 
- Participate in design and technical discussions.
- Analyze data to create recommendations and execute product experiments to improve key metrics.</t>
  </si>
  <si>
    <t>Head of Content Solutions</t>
  </si>
  <si>
    <t>- Bachelor's degree in Computer Science, similar technical field of study or equivalent practical experience.
- Experience in product management or design for internet products and technologies.
- Experience bringing a consumer product to market.
- Ability to provide clear solutions to ambiguous problems.
- Excellent problem-solving and innovation skills.</t>
  </si>
  <si>
    <t xml:space="preserve">PHAR Partnerships </t>
  </si>
  <si>
    <t>www.linkedin.com/in/angela-lok-78b14035</t>
  </si>
  <si>
    <t>AJAIB</t>
  </si>
  <si>
    <t>https://www.techinasia.com/jobs/9c97b3d3-98c3-4eb0-972c-17e2db653931</t>
  </si>
  <si>
    <t>a3536@hotmail.com</t>
  </si>
  <si>
    <t xml:space="preserve">Diana Lee, SPH magazines Pte Ltd </t>
  </si>
  <si>
    <t xml:space="preserve">She’s got grit and perseverance and she’s reliable and responsible, will always get things done whenever needed. </t>
  </si>
  <si>
    <t>SOMNATH ASATI</t>
  </si>
  <si>
    <t>Senior Software Engineer</t>
  </si>
  <si>
    <t>https://www.linkedin.com/in/somnath-asati-49783466/</t>
  </si>
  <si>
    <t>somnathasati@gmail.com</t>
  </si>
  <si>
    <t>Shunyuan @ Traveloka</t>
  </si>
  <si>
    <t>Minh Khue, Traveloka</t>
  </si>
  <si>
    <t>Andrean Susilodinata, Traveloka</t>
  </si>
  <si>
    <t>EP Transfer</t>
  </si>
  <si>
    <t>Bernadette Vina</t>
  </si>
  <si>
    <t>https://www.linkedin.com/in/bernadette-vina-08713077/</t>
  </si>
  <si>
    <t>Senior Backend Engineer 
(Software Architect)</t>
  </si>
  <si>
    <t>- You will be responsible for designing, building, improving, and operating our Products and systems. You will also be the steward for good engineering quality and practices in the organization and your product domains.
- You will drive high standard of code reviews, design reviews, and architecture discussions to ensure the delivery of high performance, reliable, scalable, and available distributed systems serving millions of customers. You will set the vision of the domain architecture and technology stack for technology in your organization, driving implementation of medium and long term tech investment.
- While you will actively participate in development along with team members, you are also a tech evangelist, a role model of our engineering culture by mentoring more junior engineers to instill engineering best practices and good habits.
- You will have a lot of opportunities to experiment with new and relevant technologies and tools, driving adoption while measuring yourself on the impact you are able to create.
- You will work in cross-functional teams and meet great people regularly from top tier technology, consulting, product, or academic background. We work in an open environment where there are no boundaries or power distance. Everyone is encouraged to speak their mind, propose ideas, influence others, and continuously grow themselves. Get the exposure to multi-aspect, collaborative, intensive startup experience with our recent expansion into Southeast Asia and exploration of new products.</t>
  </si>
  <si>
    <t>- Passion in software engineering, product, organization, and people development
- At least 5 years of experience in software engineering
- Strong technical leadership on vision and setting direction for a complex system in a medium-to-large size organization
- Experience with design, development and operations of highly available (24/7) and large scale distributed systems with millions or more users
- Excellent understanding of software engineering concepts, algorithms and design patterns
- Excellent interpersonal, communication and influencing skills to manage both technical and non-technical peers and stakeholders
- Excellent leadership and independence to work in dynamic and agile startup environment with high ambiguity
- Excellent organizational ability in coaching, engaging people and managing performance
- Expertise in Java/Python tech stack and Cloud services is an advantage
- Experience in B2C Internet products like online finance technology is an advantage</t>
  </si>
  <si>
    <t>bernadette.vina@gmail.com</t>
  </si>
  <si>
    <t>https://www.techinasia.com/jobs/7d075521-39cb-4376-8eb7-a48d9b8ed495</t>
  </si>
  <si>
    <t>Nadia; Senior Investment Associate Alpha JWC Ventures</t>
  </si>
  <si>
    <t>Fanny Limassa, VP Product at Traveloka</t>
  </si>
  <si>
    <t>She has a good balance of technical understanding, business sense, user empathy, as well as general critical thinking that are important for a successful product manager. She complements all those hardskills with great stakeholder management and a great hard working attitude.</t>
  </si>
  <si>
    <t>Arianti Khairina</t>
  </si>
  <si>
    <t>Social Media Specialist</t>
  </si>
  <si>
    <t>ariantikhairina6@gmail.com</t>
  </si>
  <si>
    <t>Kartika Adyani, Community Manager @ Traveloka</t>
  </si>
  <si>
    <t>Okiviani Amanda Sastri</t>
  </si>
  <si>
    <t>Scrum Master</t>
  </si>
  <si>
    <t>Ekipa Agile Consultancy</t>
  </si>
  <si>
    <t>https://www.linkedin.com/in/okiviani-amanda-sastri/</t>
  </si>
  <si>
    <t>amanda.melosa@gmail.com</t>
  </si>
  <si>
    <t>Marketing, Sales, Product, Data and analytics, Design</t>
  </si>
  <si>
    <t>Jume Analyses @Ekipa Agile Consultancy</t>
  </si>
  <si>
    <t>Ranco Kraaijenbrink, COO</t>
  </si>
  <si>
    <t>Ranco is the COO of the company. Every weeks I will share everything from the impediments and working related to him, and he makes me feel like hom in Ekipa.</t>
  </si>
  <si>
    <t>Drishti Tulsi</t>
  </si>
  <si>
    <t>Summer Inter</t>
  </si>
  <si>
    <t>IIT Kharagpur</t>
  </si>
  <si>
    <t>https://www.linkedin.com/in/drishti-tulsi-33542b114/</t>
  </si>
  <si>
    <t>UX Research</t>
  </si>
  <si>
    <t>- Conduct independent research on multiple aspects of products and experiences
- Collect and analyze user behavior through field visits, ethnography, surveys, benchmark studies, server logs and online experiments (A/B testing)
- Work with UIUX Designers, Copywriters, Product Managers and Engineers to prioritize research opportunities in a fast-paced, rapidly changing environment
- Understand and incorporate complex technical and business requirements into research
- Communicate research findings through written reports and in-person presentations</t>
  </si>
  <si>
    <t>- Experience with research design utilizing various methods including but not limited to usability studies, contextual inquiry, and surveys
- Relevant product research experience, either in an end-to-end, usability, or generative setting
- Relevant work experience within User Experience, Human-Computer Interaction, applied research setting, and/or product research and development
- Proficiency in communicating user research findings with cross functional teams to drive impact
- Strong understanding of the strengths and shortcomings of different research methods, including when and how to apply them during the product development process</t>
  </si>
  <si>
    <t>https://www.techinasia.com/jobs/2990797d-a63c-4769-a57d-c0ad1a2a1481</t>
  </si>
  <si>
    <t>drishtitulsi.1@gmail.com</t>
  </si>
  <si>
    <t>Marketing, Sales, Product, Finance, Data and analytics</t>
  </si>
  <si>
    <t>No one</t>
  </si>
  <si>
    <t>Yes, sponsored by company</t>
  </si>
  <si>
    <t>Brendan Duong</t>
  </si>
  <si>
    <t>Alpha7</t>
  </si>
  <si>
    <t>https://www.linkedin.com/in/brendanduong1/</t>
  </si>
  <si>
    <t>brendanduong1@gmail.com</t>
  </si>
  <si>
    <t>EP required (Australian citizen)</t>
  </si>
  <si>
    <t>Gilang Pratama</t>
  </si>
  <si>
    <t>Business Development Project Specialist</t>
  </si>
  <si>
    <t>Ralali.com</t>
  </si>
  <si>
    <t>https://linkedin.com/in/sayagilangpratama</t>
  </si>
  <si>
    <t>gilangpratama.adhri@gmail.com</t>
  </si>
  <si>
    <t>Sheryel Teng, Lead Marketing Communications Specialists @ Arcus</t>
  </si>
  <si>
    <t>Keith Li</t>
  </si>
  <si>
    <t>Creative Strategist</t>
  </si>
  <si>
    <t>Creadits Pte Ltd</t>
  </si>
  <si>
    <t>https://www.linkedin.com/in/keithliwz/</t>
  </si>
  <si>
    <t xml:space="preserve">US-based start-up expanding to Southeast Asia is looking for Head of Marketing. You are responsible for creating and executing marketing plans and strategies. You will launch products and build our brand in Southeast Asia. You will lead a small team. 
</t>
  </si>
  <si>
    <t xml:space="preserve">- 4+ years of having marketing manager role in a marketing argency or consulting firm 
- attention to details, organised, and thrive on independence to achieve a series of goals within a specific budget.
- A thinker and a doer with strong sense of ownership
- Has a start-up mindset; building things from the 'ground up'
- Experience in the sports or fashion industry is preferred
</t>
  </si>
  <si>
    <t>ConnectOne Consulting</t>
  </si>
  <si>
    <t>Wearable Tech Start-up</t>
  </si>
  <si>
    <t>https://www.connectone.com.sg/head-of-marketing-my-sports-lifestyle</t>
  </si>
  <si>
    <t>keith.liwz@gmail.com</t>
  </si>
  <si>
    <t>Jun Han</t>
  </si>
  <si>
    <t xml:space="preserve">Christy Ho Head of Creative Strategy </t>
  </si>
  <si>
    <t>Keith has been enthusiastic and passionate about Creative Strategy since day one, is a team player and is excellent at taking constructive criticism.</t>
  </si>
  <si>
    <t>Victor Chow</t>
  </si>
  <si>
    <t xml:space="preserve">Group COO </t>
  </si>
  <si>
    <t>honestbee</t>
  </si>
  <si>
    <t>https://www.linkedin.com/in/victor-j-chow-59656a1b/</t>
  </si>
  <si>
    <t>vjchow@gmail.com</t>
  </si>
  <si>
    <t>Marketing, Sales, BD and Partnerships, Ops, Exec team</t>
  </si>
  <si>
    <t>Pauline Teo, Head of HR</t>
  </si>
  <si>
    <t>I had the privilege of working with Victor during our time at honestbee.  Action-oriented and resourceful, Victor's energy and drive were unparalleled, and this was evidenced by how quickly he organized multiple initiatives, usually within a short span of time.  With a razor-sharp focus on the bottom line, Victor strategically optimized diverse talents to achieve goals. On top of building a solid market team in Taiwan, he was able to attract strong talents to his regional Commercial team, and worked closely with various market heads across the honestbee Group to size up both people and situations amidst huge ambiguity, making tough people and business calls where needed.  Underlying Victor's flexibility and situational adaptability is his openness and receptivity, allowing him to learn on the fly and maintain composure to deal with trying circumstances. His resilience and perseverance formed a particularly important pillar of strength for both the teams and individuals he led/influenced. It helped too, that he had a great sense of humor, and cheered the team on regardless of the circumstances.  It's been great working with Victor, and I'll not hesitate to recommend him for a significant leadership role with any progressive organization.</t>
  </si>
  <si>
    <t>Non - PR</t>
  </si>
  <si>
    <t>Raditya r</t>
  </si>
  <si>
    <t>Photographer</t>
  </si>
  <si>
    <t>Phoenix Communications</t>
  </si>
  <si>
    <t>http://linkedin.com/in/radfadilla</t>
  </si>
  <si>
    <t>Apply via URL Link</t>
  </si>
  <si>
    <t>radfadilla@gmail.com</t>
  </si>
  <si>
    <t>Andrew Robertson</t>
  </si>
  <si>
    <t>Global Account Lead</t>
  </si>
  <si>
    <t>Lynk Global</t>
  </si>
  <si>
    <t>Social Media Manager</t>
  </si>
  <si>
    <t>www.linkedin.com/andrewrobertsonhk/</t>
  </si>
  <si>
    <t xml:space="preserve">US-based start-up expanding to Southeast Asia is looking for Social Media Manager. You will take full ownership in managing our relevant social media accounts. You will conceptualize, execute, evaluate, and optimize social media &amp; PR strategies. You will conduct real-time events and manage the community revolving our brand. </t>
  </si>
  <si>
    <t>- Strong expertise in social media management 
- Confident and skilled in project management 
- Has a start-up mindset; building things from the 'ground up' with strong sense of ownership
- Experience in the sports or fashion industry is preferred</t>
  </si>
  <si>
    <t>https://www.connectone.com.sg/social-media-manager-my-sports-wearables-startup</t>
  </si>
  <si>
    <t>Andy.robertson.hk@gmail.com</t>
  </si>
  <si>
    <t>Felicia Lin @ Amplitude</t>
  </si>
  <si>
    <t>Yao Yang Sim</t>
  </si>
  <si>
    <t>Danang Baskoro Pramudjito</t>
  </si>
  <si>
    <t>Head of HR &amp; TA</t>
  </si>
  <si>
    <t>Finflee Teknologi Indonesia</t>
  </si>
  <si>
    <t>https://www.linkedin.com/in/danang-baskoro-p-97770427/</t>
  </si>
  <si>
    <t>gusbaskoro@gmail.com</t>
  </si>
  <si>
    <t>My colleague - Bunga - Head of Busnis Support</t>
  </si>
  <si>
    <t>Abdul Haris - HR Generalist</t>
  </si>
  <si>
    <t>baskoro is one of few HR people whom understand the full scope or HR</t>
  </si>
  <si>
    <t>Dont have one</t>
  </si>
  <si>
    <t>Muhammad Aditya Pramana</t>
  </si>
  <si>
    <t>Operations Order Management Lead</t>
  </si>
  <si>
    <t>adityapramana92@gmail.com</t>
  </si>
  <si>
    <t>Yuska Widyanshah, HR @ circles life</t>
  </si>
  <si>
    <t>Richard Tjokro</t>
  </si>
  <si>
    <t>Account Representative</t>
  </si>
  <si>
    <t>Uber</t>
  </si>
  <si>
    <t>https://www.linkedin.com/in/richardtjokro/</t>
  </si>
  <si>
    <t xml:space="preserve">US-based start-up expanding to Southeast Asia is looking for Product Manager. You are responsible for the product development from A-Z. You will communicate and build bridges between users, stakeholders, engineers, business partners, and all relevant parties in building the best product possible. 
</t>
  </si>
  <si>
    <t>- Has a degree in engineering, design or related field
- Familiarity with some CAD software
- Must be willing to travel extensively (Mainly to Shenzhen, China)
- Must have proficiency in English and Mandarin (written &amp; spoken)
- 1-3 years’ experience with developing electronic products</t>
  </si>
  <si>
    <t>https://www.connectone.com.sg/product-manager-my-wearables-startup</t>
  </si>
  <si>
    <t>richardtjokro88@gmail.com</t>
  </si>
  <si>
    <t>Rodney Alcantara, Sales Manager</t>
  </si>
  <si>
    <t>Vickrant Siingh</t>
  </si>
  <si>
    <t>Google Inc</t>
  </si>
  <si>
    <t>https://www.linkedin.com/in/vickrantsiingh/</t>
  </si>
  <si>
    <t>siinghvickrant@gmail.com</t>
  </si>
  <si>
    <t>Frendy Chandra</t>
  </si>
  <si>
    <t>Studio Partnership Lead</t>
  </si>
  <si>
    <t>https://www.linkedin.com/in/frendy-chandra-8617b558/</t>
  </si>
  <si>
    <t>iOS Deveoloper</t>
  </si>
  <si>
    <t>chandra.frendy@gmail.com</t>
  </si>
  <si>
    <t>Sales, BD and Partnerships, Finance, Exec team, HR, People, Talent</t>
  </si>
  <si>
    <t xml:space="preserve">US-based start-up expanding to Southeast Asia is looking for iOS Developer. You will coordinate with relevant parties and work in a small team to create and refine our mobile application. </t>
  </si>
  <si>
    <t>Found on Linked-In timeline</t>
  </si>
  <si>
    <t>- Comfortable with one or more general purpose languages such as but not limited to Java, C/C++, C#, Python, JavaScript, Go, or Swift. 
- Extensive knowledge in iOS development technique 
- 1+ year experience in iOS or/and mac OS development 
- Able to travel to Shenzen, China at least one week a month</t>
  </si>
  <si>
    <t>Anjani Percaya - Country Manager</t>
  </si>
  <si>
    <t>Indonesian</t>
  </si>
  <si>
    <t>Nico Setyo Utomo</t>
  </si>
  <si>
    <t>Internet of things</t>
  </si>
  <si>
    <t>https://www.connectone.com.sg/ios-developer-my-wearable-tech</t>
  </si>
  <si>
    <t>Agri Teknologi Indonesia</t>
  </si>
  <si>
    <t>nico.setyo@gmail.com</t>
  </si>
  <si>
    <t>Desty CEO @ caltymilk.com</t>
  </si>
  <si>
    <t>Deden Wijaya</t>
  </si>
  <si>
    <t>IT Manager</t>
  </si>
  <si>
    <t>Cashwagon Indonesia</t>
  </si>
  <si>
    <t>https://www.linkedin.com/in/deden-wijaya/</t>
  </si>
  <si>
    <t>denz.wijaya@gmail.com</t>
  </si>
  <si>
    <t>Mirza Febrian CEO @ zeepos</t>
  </si>
  <si>
    <t>Nurkholis Yusuf</t>
  </si>
  <si>
    <t>Engineer , IT Field Engineer</t>
  </si>
  <si>
    <t>PT Kahar Duta Sarana</t>
  </si>
  <si>
    <t>Check out NURKHOLIS YUSUF’S profile on LinkedIn https://www.linkedin.com/in/nurkholis-yusuf-b06826161</t>
  </si>
  <si>
    <t>olizyusuf@gmail.com</t>
  </si>
  <si>
    <t>Sales, Engineering</t>
  </si>
  <si>
    <t>from twitter @dondihananto</t>
  </si>
  <si>
    <t>S Heru Purnomo - Supervisor IT Field Engineer</t>
  </si>
  <si>
    <t xml:space="preserve">Olis understand about procedure and nice idea solving if he have some problem in field. good person in the office. always smile in workday. </t>
  </si>
  <si>
    <t>Stefanny Widjaja</t>
  </si>
  <si>
    <t>Influencer Marketing Specialist</t>
  </si>
  <si>
    <t>SweetEscape</t>
  </si>
  <si>
    <t>https://www.linkedin.com/in/stefanny97/</t>
  </si>
  <si>
    <t xml:space="preserve">US-based start-up expanding to Southeast Asia is looking for Account Manager. You will work with existing accounts and generate strategy to reach smaller accounts. </t>
  </si>
  <si>
    <t xml:space="preserve">- 4+ years account management experience in a marketing agency or business analyst at consulting firm
- A thinker and a doer with strong sense of ownership
- Has a start-up mindset; building things from the 'ground up'
- Experience in the sports or fashion industry is preferred
</t>
  </si>
  <si>
    <t>stefannywidjaja@gmail.com</t>
  </si>
  <si>
    <t>https://www.connectone.com.sg/account-manager-my-wearable-tech</t>
  </si>
  <si>
    <t>Prastika Herlianti</t>
  </si>
  <si>
    <t>Senior Graphic Designer</t>
  </si>
  <si>
    <t>Mekari</t>
  </si>
  <si>
    <t>linkedin/prastikaher</t>
  </si>
  <si>
    <t>prastikaher@gmail.com</t>
  </si>
  <si>
    <t>Twitter @dondihananto</t>
  </si>
  <si>
    <t>Bagasworo Rinugroho - Art Director</t>
  </si>
  <si>
    <t>Owen Yunaputra Kosman</t>
  </si>
  <si>
    <t>Research Engineer</t>
  </si>
  <si>
    <t>OxMet Technologies</t>
  </si>
  <si>
    <t>https://www.linkedin.com/in/owenkosman/</t>
  </si>
  <si>
    <t>birudeghi@gmail.com</t>
  </si>
  <si>
    <t>Goh Jun Wei, Executive Director @ Oxford Entrepreneurs</t>
  </si>
  <si>
    <t>Goh Jun Wei, Executive Director @ Oxford Entrepreneurs; Andre Nemeth, Founding Team Member @ OxMet Technologies</t>
  </si>
  <si>
    <t>I found Owen to be an enthusiastic, highly motivated and hard-working intern who conducts himself in a professional and happy, can-do manner. I have no doubt that he is becoming a highly accomplished research engineer. I recommend Owen Kosman to you warmly and without reservation.</t>
  </si>
  <si>
    <t>I am currently holding an Indonesian Passport. Previous Student Pass holder, took SEAB O and A Levels in 2013 and 2015 respectively.</t>
  </si>
  <si>
    <t>Abdurahman Hidayat</t>
  </si>
  <si>
    <t>TIX ID</t>
  </si>
  <si>
    <t>https://www.linkedin.com/in/abdurahmanhidayat</t>
  </si>
  <si>
    <t>Business Development Manager APAC + ME</t>
  </si>
  <si>
    <t xml:space="preserve">Help companies protect their people, property, and premises by providing market-leading visitor management solutions. Clients include AirBNB, Pepsi, L'Oreal, Sodexo, UOB, and more. 
We're looking for a flexible BD rep to be our 3rd set of "boots on the ground" in the region. Your job will be to:
1) Find new leads 
2) Qualify inbound 
3) Act on local channel &amp; partner strategy, enabling local partner ecosystem. 
</t>
  </si>
  <si>
    <t>- 1-3 years' min experience in outbound lead gen/ growth gen; more preferred
- Experience in PropTech space and/or B2B SaaS space
- Additional language a plus (Mandarin/ Cantonese/ Bahasa/ Arabic)
- Experience with modern sales techniques a plus</t>
  </si>
  <si>
    <t>Proxyclick</t>
  </si>
  <si>
    <t>Visitor Management</t>
  </si>
  <si>
    <t>https://apply.workable.com/proxyclick/j/A25441B7AE/</t>
  </si>
  <si>
    <t>rahman.abduhidayat@gmail.com</t>
  </si>
  <si>
    <t>Dianthi Nida, Senior UX Writer @ Tokopedia</t>
  </si>
  <si>
    <t>Mutia Nurul Rahmah</t>
  </si>
  <si>
    <t>Creative Team and blogger</t>
  </si>
  <si>
    <t>BroSisPKU</t>
  </si>
  <si>
    <t>https://www.linkedin.com/in/mutia-nurul-rahmah-114b2199/</t>
  </si>
  <si>
    <t>muthea.almuts@gmail.com</t>
  </si>
  <si>
    <t>From twitter @dondihananto</t>
  </si>
  <si>
    <t>Dedy Ong (Founder Webby Digital- @BroSisPKU</t>
  </si>
  <si>
    <t xml:space="preserve">Abhyudit Dev </t>
  </si>
  <si>
    <t xml:space="preserve">Marketing Analyst and CRM admin </t>
  </si>
  <si>
    <t xml:space="preserve">Creadits </t>
  </si>
  <si>
    <t>linkedin.com/in/abhyuditdev</t>
  </si>
  <si>
    <t>Backend engineer</t>
  </si>
  <si>
    <t>Backend engineer, data migration from multiple DBs.</t>
  </si>
  <si>
    <t>Asia Law Network / Tessaract.io</t>
  </si>
  <si>
    <t xml:space="preserve">abhyuditdev@gmail.com </t>
  </si>
  <si>
    <t>Law Tech</t>
  </si>
  <si>
    <t>Marketing, Sales, Data and analytics</t>
  </si>
  <si>
    <t>Jun Han, SDR @ Creadits</t>
  </si>
  <si>
    <t>Recruit@tessaract.io</t>
  </si>
  <si>
    <t>Need employment pass</t>
  </si>
  <si>
    <t>Jhon Carl Amor</t>
  </si>
  <si>
    <t>Sales Executive (Acquisition Manager)</t>
  </si>
  <si>
    <t>Funding Societies</t>
  </si>
  <si>
    <t>https://www.linkedin.com/in/jhon-carl-amor-b90166179/</t>
  </si>
  <si>
    <t>Biz Ops,Design/UX,Finance,HR/People Ops,Product,Sales/BD,Marketing,Legal,Engineering,Data Science</t>
  </si>
  <si>
    <t>We are hiring multiple roles across the organisation at Carousell, both biz and tech folks in all our offices.</t>
  </si>
  <si>
    <t>jamor0712@gmail.com</t>
  </si>
  <si>
    <t>Carousell</t>
  </si>
  <si>
    <t>Audrey Low, Talent Acquisition Exec @ Funding Socities</t>
  </si>
  <si>
    <t>Marketplace</t>
  </si>
  <si>
    <t>Priscillia Teo (HR Manager) / Simon Xie (Sales Director)</t>
  </si>
  <si>
    <t>Indonesia, Singapore, Malaysia, Philippines</t>
  </si>
  <si>
    <t>Jhon is always surprising us with a different approach on acquiring a specific target client. was an exemplary teammate during his tenure with us. His responsibilities include lead origination and new client acquisition, which includes self-motivated curation and building of database pipeline. He also went above and beyond his usual BAU and was also involved in Data analytics via database scrubbing and hygiene. His training from the team enabled him to clearly articulate value propositions of our company and allowed him to push multiple products across the spectrum of both trade and unsecured financing.</t>
  </si>
  <si>
    <t>Epass/Spass</t>
  </si>
  <si>
    <t>https://careers.carousell.com/</t>
  </si>
  <si>
    <t>Felicia Thenardy</t>
  </si>
  <si>
    <t>Senior Product Marketing Manager</t>
  </si>
  <si>
    <t>https://www.linkedin.com/in/fthenardy/</t>
  </si>
  <si>
    <t>fthenardy@gmail.com</t>
  </si>
  <si>
    <t>Bob, Sr Product Manager @ Traveloka</t>
  </si>
  <si>
    <t xml:space="preserve">Olivia Taebenu </t>
  </si>
  <si>
    <t>Operations Manager</t>
  </si>
  <si>
    <t>Axinan Pte Ltd</t>
  </si>
  <si>
    <t>https://www.linkedin.com/in/olivia-taebenu-5b57a324</t>
  </si>
  <si>
    <t>ojstaebenu@gmail.com</t>
  </si>
  <si>
    <t xml:space="preserve">LinkedIn </t>
  </si>
  <si>
    <t>Denis Kim CEO of Five Jack (itemku.com)</t>
  </si>
  <si>
    <t>Will need a visa if required to work outside Indonesia</t>
  </si>
  <si>
    <t>Leonardus Dewala</t>
  </si>
  <si>
    <t xml:space="preserve">Strategic and Development </t>
  </si>
  <si>
    <t>Product,Ops,Sales/BD,Marketing</t>
  </si>
  <si>
    <t>Talent Indonesia : Indonesia Ministry of Manpower</t>
  </si>
  <si>
    <t>https://www.linkedin.com/in/dewala-leonard/</t>
  </si>
  <si>
    <t>PM in MY; Ops, BD in TH; Marketing in ID.</t>
  </si>
  <si>
    <t>Carsome</t>
  </si>
  <si>
    <t>Malaysia, Thailand, Indonesia</t>
  </si>
  <si>
    <t>https://www.carsome.my/career_with_us</t>
  </si>
  <si>
    <t>dewala.leonard@gmail.com</t>
  </si>
  <si>
    <t>Victor Kurniawan Cahyadi Strategy and Innovation Group @ OCBC NISP</t>
  </si>
  <si>
    <t>"Having great thought of marketing strategic &amp; digital ecosystem" -Dedy Handoko - Chief Commercial Officer at CBN Salim Group</t>
  </si>
  <si>
    <t>VICKY AFRINALDI</t>
  </si>
  <si>
    <t>camera person dan editor video</t>
  </si>
  <si>
    <t>JAWAPOSTV</t>
  </si>
  <si>
    <t>Vicky Afrinaldi</t>
  </si>
  <si>
    <t>afrinaldivicky@gmail.com</t>
  </si>
  <si>
    <t>dianti</t>
  </si>
  <si>
    <t>Ajeng Kusuma Rosianwar</t>
  </si>
  <si>
    <t>Hotel Bluesky Pandurata</t>
  </si>
  <si>
    <t>ajengkusumar@gmail.com</t>
  </si>
  <si>
    <t>Soemantri, DOSM @Hotel Hyatt Regency Yogyakarta</t>
  </si>
  <si>
    <t>Reynold Stefanus Nani</t>
  </si>
  <si>
    <t>Head of Supply (Fintech,Commercial and Partnership)</t>
  </si>
  <si>
    <t>www.linkedin.com/in/reynold-stefanus-61680a16</t>
  </si>
  <si>
    <t>Product,Design/UX,Engineering</t>
  </si>
  <si>
    <t>1st PM, Product Designer, VP Engineering</t>
  </si>
  <si>
    <t>EngageRocket</t>
  </si>
  <si>
    <t>HR Tech</t>
  </si>
  <si>
    <t>http://careers.engagerocket.co/</t>
  </si>
  <si>
    <t>reynoldbonbon@gmail.com</t>
  </si>
  <si>
    <t>william kartadi</t>
  </si>
  <si>
    <t>rinaldo augusta</t>
  </si>
  <si>
    <t>Kautsar Umaro Yanshuru</t>
  </si>
  <si>
    <t>Assistant Product Manager</t>
  </si>
  <si>
    <t>Vizitrip</t>
  </si>
  <si>
    <t>https://www.linkedin.com/in/kautsar-umaro-yanshuru-78441012a/</t>
  </si>
  <si>
    <t>Osa.dradjat@gmail.com</t>
  </si>
  <si>
    <t>Marketing, Sales, Product, Ops</t>
  </si>
  <si>
    <t>Ardito Wahyu Octian, Bukareview Strategist @ Bukalapak</t>
  </si>
  <si>
    <t>Unggul Eka Putra , Product and Digital Manager</t>
  </si>
  <si>
    <t>Sponsor letter</t>
  </si>
  <si>
    <t>Elston Yee</t>
  </si>
  <si>
    <t>Manager, Special Projects</t>
  </si>
  <si>
    <t>Honestbee</t>
  </si>
  <si>
    <t>Partnership Director, Business Development Sales</t>
  </si>
  <si>
    <t>https://www.linkedin.com/in/elston-yee-66663830/</t>
  </si>
  <si>
    <t>·      Identify, structure &amp; implement strategic partnerships to acquire SMEs (including lead generation, partnership structuring, proposal development, pitching, relationship building, relationship management and operations)
·     Identify &amp; acquire institutional investors (including lead generation, partnership structuring, proposal development, pitching, relationship building, relationship management and operations)
·     Collaborate with key stakeholders to deliver on SME and institutional investor initiatives - with speed, focus and effectiveness 
·     Lead and manage a team to deliver outsized impact to SMEs and institutional investors (including inspiring, motivating, enabling &amp; nurturing talent)
·     Lead / Support any other ad-hoc work or projects entrusted to you
·     Lead from the front &amp; demonstrate strong commitment to our mission and values</t>
  </si>
  <si>
    <t>·       At least 10 years of experience in B2B sales (or a related function), which can be leveraged for SME financing
·     Excellent communication skills to effectively execute on all areas highlighted in the job description
·     Experience &amp; proven performance to thrive in a dynamic &amp; fast paced work environment 
·     Extroverted with great interpersonal skills and ability to build rapport with a wide range of people</t>
  </si>
  <si>
    <t>yelston@gmail.com</t>
  </si>
  <si>
    <t>BD and Partnerships, Product, Ops, Exec team, HR, People, Talent</t>
  </si>
  <si>
    <t>Tech In Asia</t>
  </si>
  <si>
    <t>https://fsmk.bamboohr.com/jobs/view.php?id=191</t>
  </si>
  <si>
    <t>Raras Astarini</t>
  </si>
  <si>
    <t>PT RAKSASA LAJU LINTANG (RALALI)</t>
  </si>
  <si>
    <t>https://www.linkedin.com/in/raras-astarini-26615962</t>
  </si>
  <si>
    <t>raras.astarini@yahoo.com</t>
  </si>
  <si>
    <t>BD and Partnerships, Ops, HR, People, Talent</t>
  </si>
  <si>
    <t>Found from LinkedIn</t>
  </si>
  <si>
    <t>Suci, Partnership Associate</t>
  </si>
  <si>
    <t xml:space="preserve">My boss like to work with me because she said I like my way see the problems, always be rational, can fight for myself. </t>
  </si>
  <si>
    <t>Ignasius Alvin Yo</t>
  </si>
  <si>
    <t>Performance Marketing Associate</t>
  </si>
  <si>
    <t>https://www.linkedin.com/in/ignasius-alvin-yo/</t>
  </si>
  <si>
    <t>alvinignasius@gmail.com</t>
  </si>
  <si>
    <t>Felicia Thenardy, Sr Product Marketing Manager @Traveloka</t>
  </si>
  <si>
    <t>Project Manager, Retail Business</t>
  </si>
  <si>
    <t>Osbert, Sr Product Marketing Manager @Traveloka</t>
  </si>
  <si>
    <t>Alvin has good understanding on basic digital marketing concept, and able to manage / operate digital campaign (SEM, Facebook, GDN) within 2 months. He also has a sense of ownership and able to deliver what is expected from stakeholders</t>
  </si>
  <si>
    <t>Ryan Pua</t>
  </si>
  <si>
    <t>Sales Manager - Asia</t>
  </si>
  <si>
    <t>Instant Offices</t>
  </si>
  <si>
    <t>https://www.linkedin.com/in/ryan-pua-jiajiun/</t>
  </si>
  <si>
    <t xml:space="preserve">
 - Direct and manage project and team. Serves as a lead in a single vertical of the business, and may expand to multiple lines of business.
 - Coordinate with all stakeholders, components &amp; resources in product development, testing, and execution
 - Co-responsible for guiding project team to achieve monthly loan book and revenue and coordinate with Finance on target achievement
 - Facilitates communication between internal project team, internal stakeholders, and customers on daily/weekly basis
 - Conducts market research and develops deep understanding of target market and customer personas
 - Establishes and documents standards and procedures for the project and team.
 - Evaluates and mentors subordinates team on people and work development</t>
  </si>
  <si>
    <t>- Have experience managing a team 
- Have 6+ years experience in the industry in project management capacity / 3+ years in consulting / 6+ years experience in Retail banking division 
- Industry-agnostic (although understanding in apartment rental industry is a plus) 
- Demonstrate ability to solve problems flexibly 
- Demonstrate ability to drive team based on high level directions and business goals 
- An excellent communication skills 
- Bachelor's degree in a relevant course</t>
  </si>
  <si>
    <t>jiajiun.pua@gmail.com</t>
  </si>
  <si>
    <t>Sales, BD and Partnerships, Data and analytics</t>
  </si>
  <si>
    <t>Need to apply for Employment Pass</t>
  </si>
  <si>
    <t>linda</t>
  </si>
  <si>
    <t>sales advisor</t>
  </si>
  <si>
    <t>Ks Link</t>
  </si>
  <si>
    <t>https://fsmk.bamboohr.com/jobs/view.php?id=214</t>
  </si>
  <si>
    <t>.</t>
  </si>
  <si>
    <t>lindajayne@gmail.com</t>
  </si>
  <si>
    <t>google</t>
  </si>
  <si>
    <t>Marcus</t>
  </si>
  <si>
    <t>Lucas Tan</t>
  </si>
  <si>
    <t>Research Assistant</t>
  </si>
  <si>
    <t>TORAY Singapore Water Research Center</t>
  </si>
  <si>
    <t>www.linkedin.com/in/lucas-tan-4b23b8120</t>
  </si>
  <si>
    <t>chendingkai@hotmail.com</t>
  </si>
  <si>
    <t>Justin Loh, Owner of Parchmen &amp; Co</t>
  </si>
  <si>
    <t>Wei Yuan Goh</t>
  </si>
  <si>
    <t>Willy Ahmad Syafiq</t>
  </si>
  <si>
    <t>Sr. UI/UX Designer</t>
  </si>
  <si>
    <t>https://www.linkedin.com/in/willy-ahmad-syafiq-35095610a/</t>
  </si>
  <si>
    <t>Experience with car insurance is a bonus</t>
  </si>
  <si>
    <t>GoBear</t>
  </si>
  <si>
    <t>willy.syafiq@gmail.com</t>
  </si>
  <si>
    <t>muneaza@gobear.com</t>
  </si>
  <si>
    <t>Nikki Antonio - Product Researcher - Ex Gredu</t>
  </si>
  <si>
    <t>Yasin - UI Designer</t>
  </si>
  <si>
    <t>proactive person, great holistic knowledge in tech, design, up to the business, love to mentor younger colleague</t>
  </si>
  <si>
    <t>Naveen Shanmugam</t>
  </si>
  <si>
    <t xml:space="preserve">Sembcorp Utilities </t>
  </si>
  <si>
    <t>https://www.linkedin.com/in/naveen-shanmugam-a0360a66/</t>
  </si>
  <si>
    <t>nveen.shan@gmail.com</t>
  </si>
  <si>
    <t>Hujjat Nadarajah, CEO@ Tun-Yat</t>
  </si>
  <si>
    <t>Victor Ten</t>
  </si>
  <si>
    <t>Edwin Law</t>
  </si>
  <si>
    <t>YuXuan Tay</t>
  </si>
  <si>
    <t>Data Scientist, RecSys</t>
  </si>
  <si>
    <t>Product,Sales/BD</t>
  </si>
  <si>
    <t>https://www.linkedin.com/in/yxtay/</t>
  </si>
  <si>
    <t>Snr PM, several sales roles around SEA.</t>
  </si>
  <si>
    <t>Homage</t>
  </si>
  <si>
    <t>Healthcare</t>
  </si>
  <si>
    <t>https://homage.recruitee.com/</t>
  </si>
  <si>
    <t>wyextay@gmail.com</t>
  </si>
  <si>
    <t>Reza Septian</t>
  </si>
  <si>
    <t>Communications Specialist</t>
  </si>
  <si>
    <t>International Animal Rescue Indonesia</t>
  </si>
  <si>
    <t>https://www.linkedin.com/in/reza-septianm/</t>
  </si>
  <si>
    <t>reza.septianm@gmail.com</t>
  </si>
  <si>
    <t>Dondi Hananto on Twitter</t>
  </si>
  <si>
    <t>Afini Sari Nasution</t>
  </si>
  <si>
    <t>JW Marriott Medan</t>
  </si>
  <si>
    <t>linkedin.com/in/afini-sari-nasution-20368842</t>
  </si>
  <si>
    <t>Product,Ops,Marketing</t>
  </si>
  <si>
    <t>1st PM, Marketing/BD/growth, Ops</t>
  </si>
  <si>
    <t>MadThread</t>
  </si>
  <si>
    <t>Commerce / Fashion</t>
  </si>
  <si>
    <t>nicole@madthread.com</t>
  </si>
  <si>
    <t>fini.nst@gmail.com</t>
  </si>
  <si>
    <t>Marketing, Sales, Accounting, Finance</t>
  </si>
  <si>
    <t>@dondihananto</t>
  </si>
  <si>
    <t>Rinaldi Febrian - Graphic Designer</t>
  </si>
  <si>
    <t>Afini is a hardworking person and  never let any obstacle to make her a great sales by share ideas of promotion we need</t>
  </si>
  <si>
    <t>Phakpoom Santisarun</t>
  </si>
  <si>
    <t>Head of Product Owner</t>
  </si>
  <si>
    <t>Ascend Group</t>
  </si>
  <si>
    <t>https://www.linkedin.com/in/phakpoom-santisarun-7676422a/</t>
  </si>
  <si>
    <t>Frontend. Sequoia-funded. Work directly with founder/CTO/Head of R&amp;D.</t>
  </si>
  <si>
    <t>Patsnap</t>
  </si>
  <si>
    <t>Tech - AI</t>
  </si>
  <si>
    <t>aileensim@gmail.com</t>
  </si>
  <si>
    <t>phakpoom.santisarun@gmail.com</t>
  </si>
  <si>
    <t>Namfon Panjanapongchai</t>
  </si>
  <si>
    <t>Xan Ditkoff</t>
  </si>
  <si>
    <t>Partner, Growth &amp; Application Production (Director level)</t>
  </si>
  <si>
    <t>Blockstack PBC</t>
  </si>
  <si>
    <t>https://www.linkedin.com/in/xanditkoff/</t>
  </si>
  <si>
    <t>Product,Engineering,Design/UX,Sales/BD</t>
  </si>
  <si>
    <t>SMB Payments business backed by GFC, Hustle Fund and Index</t>
  </si>
  <si>
    <t>Reap</t>
  </si>
  <si>
    <t>xanditkoff@gmail.com</t>
  </si>
  <si>
    <t>Hong Kong, Singapore, Malaysia</t>
  </si>
  <si>
    <t>Hong Kong</t>
  </si>
  <si>
    <t>Personal contact</t>
  </si>
  <si>
    <t>https://www.reap.global/careers</t>
  </si>
  <si>
    <t>Patricia v. Auer, Chief of Staff @ Vid</t>
  </si>
  <si>
    <t>Need a Hong Kong work visa, but able to make arrangements myself if need be</t>
  </si>
  <si>
    <t>Citra Andinna</t>
  </si>
  <si>
    <t>Head of Creative, Content &amp; Activity</t>
  </si>
  <si>
    <t>PT Sebangsa Bersama (Sebangsa Network)</t>
  </si>
  <si>
    <t>www.linkedin.com/in/citra-andinna-194327121</t>
  </si>
  <si>
    <t>andinna.citra@gmail.com</t>
  </si>
  <si>
    <t>Fajar Aryanto, Content Writer of Taman Safari Indonesia</t>
  </si>
  <si>
    <t>Eulis Utami, Partnership Coordinator Hutan Itu Indonesia (former Community Specialist Sebangsa Network</t>
  </si>
  <si>
    <t>I was impressed by her leadership as a team leader (she managed 12-15 internal staff &amp; 7-10 freelance host/broadcaster). Her creativity is awesome, she always has excellent ideas &amp; also a problem solver.</t>
  </si>
  <si>
    <t>Ageng Prabandaru</t>
  </si>
  <si>
    <t>Technical Writer</t>
  </si>
  <si>
    <t>PT Mid Solusi Nusantara (Mekari)</t>
  </si>
  <si>
    <t>https://www.linkedin.com/in/ageng-prabandaru-2a609614b/</t>
  </si>
  <si>
    <t>Sales/BD,AM/CSM</t>
  </si>
  <si>
    <t>SHAREit</t>
  </si>
  <si>
    <t>Tech</t>
  </si>
  <si>
    <t>Adrien.kwong@corp.ushareit.com</t>
  </si>
  <si>
    <t>agengprabandaru@gmail.com</t>
  </si>
  <si>
    <t>Ervina Lutfi, Manager @Mekari</t>
  </si>
  <si>
    <t>Ervina Lutfi, Manager</t>
  </si>
  <si>
    <t>Adinda Wardhani</t>
  </si>
  <si>
    <t>Product Copywriter (UX Writer)</t>
  </si>
  <si>
    <t>http://linkedin.com/in/adinda-wardhani-01108250</t>
  </si>
  <si>
    <t>PM - help build SG’s residential estate of the future.</t>
  </si>
  <si>
    <t>SP Group</t>
  </si>
  <si>
    <t>adinda.wardhani@gmail.com</t>
  </si>
  <si>
    <t>Utility / Energy</t>
  </si>
  <si>
    <t>Torbjørn Aksdal, Design Lead @ Traveloka</t>
  </si>
  <si>
    <t>https://www.linkedin.com/jobs/view/1770395318/</t>
  </si>
  <si>
    <t>Indonesian passport</t>
  </si>
  <si>
    <t>Senior Business Development Manager</t>
  </si>
  <si>
    <t>https://www.linkedin.com/in/namfon-panjanapongchai-426141a1/</t>
  </si>
  <si>
    <t>fondpjs@gmail.com</t>
  </si>
  <si>
    <t>Marketing, Sales, BD and Partnerships, Ops, HR, People, Talent</t>
  </si>
  <si>
    <t>Paul Ark</t>
  </si>
  <si>
    <t>Sompong Olarnthatchanant, Head Business development</t>
  </si>
  <si>
    <t>Namfon is a highly self-driven person with can-do attitudes. She has well-rounded experiences in managing sales team across industries. Her process-driven and result-oriented approaches in team management is proven to be effective at OYO, making her one of the performing managers during her time here. I am confident she will be a valuable asset to any organization she is in.</t>
  </si>
  <si>
    <t>Frick Margonoharto</t>
  </si>
  <si>
    <t>B2B Sales &amp; Marketing</t>
  </si>
  <si>
    <t>Bhineka ciria artana</t>
  </si>
  <si>
    <t>http://linkedin.com/in/frick-margonoharto-2b913474</t>
  </si>
  <si>
    <t>Frick.margonoharto@gmail.com</t>
  </si>
  <si>
    <t>Vania Margonoharto, Acquisition Team Lead @ Otten Coffee</t>
  </si>
  <si>
    <t>Alexander Gerardo (senior manager at RVG Consulting)</t>
  </si>
  <si>
    <t>Technical PM</t>
  </si>
  <si>
    <t>Frick is strong in sales, many of his previous customers still need his business insight.</t>
  </si>
  <si>
    <t>Stripe</t>
  </si>
  <si>
    <t>Wisarut Gunjarueg</t>
  </si>
  <si>
    <t xml:space="preserve">Retention Manager </t>
  </si>
  <si>
    <t>OYO Thailand</t>
  </si>
  <si>
    <t>https://www.linkedin.com/in/wisarut-gunjarueg-525343126/</t>
  </si>
  <si>
    <t>https://stripe.com/jobs/search?l=singapore</t>
  </si>
  <si>
    <t>wisarut.gunjarueg@gmail.com</t>
  </si>
  <si>
    <t>Marketing, Sales, BD and Partnerships, Product, Finance, Data and analytics</t>
  </si>
  <si>
    <t>Namfon, Senior business development manager @ OYO Thailand</t>
  </si>
  <si>
    <t>Namfon was my mentor since previous startup company ( TOPICA Edtech ). She nurtured and guided me everything about management and I'm here today because of her</t>
  </si>
  <si>
    <t>Dewi Salim</t>
  </si>
  <si>
    <t>Content Writer (Digital Strategist) and Chemical Analyst</t>
  </si>
  <si>
    <t>Dewi Qadarizka Salim (https://www.linkedin.com/in/dewi-qadarizka-salim-590922132)</t>
  </si>
  <si>
    <t>dewiqadarizka@gmail.com</t>
  </si>
  <si>
    <t>Marketing, Sales, Product</t>
  </si>
  <si>
    <t>Dewi Qadarizka, Content Writer @ schoters.com</t>
  </si>
  <si>
    <t>Rengga - Head of Sales &amp; Marketing Schoters</t>
  </si>
  <si>
    <t xml:space="preserve">Learner enthusiastic, high dedication. Her weaknesses are she always feels inferior, insecure, and less confident. but "SHE IS VERY SMART" </t>
  </si>
  <si>
    <t xml:space="preserve">Nanda Kartika </t>
  </si>
  <si>
    <t>Head of Business Development and Partnership</t>
  </si>
  <si>
    <t>https://www.linkedin.com/in/nanda-kartika-ayu-56470615b/?msgConversationId=6649268630813011968&amp;msgOverlay=true&amp;senderId=annisa-rafida-laili-7704131a3</t>
  </si>
  <si>
    <t>Engineer - reactive programming, python, graph DBs.</t>
  </si>
  <si>
    <t>Synchronous</t>
  </si>
  <si>
    <t>Supply chain tech</t>
  </si>
  <si>
    <t>hello@synchronous.ai</t>
  </si>
  <si>
    <t>nanda.kartika16@gmail.com</t>
  </si>
  <si>
    <t>Radyum Ikono (CEO) @Schoters, Imre Nagi (CTO) @Schoters</t>
  </si>
  <si>
    <t>Radyum Ikono and Imre Nagi</t>
  </si>
  <si>
    <t>the best thing about Nanda is her resilience. She always showed her commitment/strong-will in working, day-night, weekend, if she know that's something beneficial for company. She is also an independent worker and strong team leader who showed strong sense in managing team/projects to get things done. Highly recommend to have her in the team with jobs related to partnership or anything relates to interpersonal relations</t>
  </si>
  <si>
    <t>Faith Ira Bunnol Hariraj</t>
  </si>
  <si>
    <t xml:space="preserve">Project Manager </t>
  </si>
  <si>
    <t>Allindive</t>
  </si>
  <si>
    <t>https://www.linkedin.com/in/faith-ira-hariraj-103762129/</t>
  </si>
  <si>
    <t>Engineering,Legal,Biz Ops</t>
  </si>
  <si>
    <t>People with expertise in electronics, automation, optics, microfluidics. Genetic engineering, Synthetic Biology. Product management in Food &amp; Beverage industry</t>
  </si>
  <si>
    <t>Teora Pte Ltd</t>
  </si>
  <si>
    <t>BioTech</t>
  </si>
  <si>
    <t>jobs@teora.life</t>
  </si>
  <si>
    <t>faith_ibh@hotmail.com</t>
  </si>
  <si>
    <t>Gail Lau (LinkedIn connection)</t>
  </si>
  <si>
    <t>Mike.lim.w.k@gmail.com</t>
  </si>
  <si>
    <t>Devika Sasadara</t>
  </si>
  <si>
    <t>PT. Sale Stock Indonesia</t>
  </si>
  <si>
    <t>devikasasadara@gmail.com</t>
  </si>
  <si>
    <t>Scholastika, Manager Social Media @ PT. Sale Stock Indonesia</t>
  </si>
  <si>
    <t>Biz Ops,Design/UX,Product,Ops,Marketing</t>
  </si>
  <si>
    <t>menswear business looking for support!</t>
  </si>
  <si>
    <t>Apichai Na Kalasin</t>
  </si>
  <si>
    <t>The Maomi Group Pte Ltd</t>
  </si>
  <si>
    <t>https://www.linkedin.com/in/apichainakalasin/</t>
  </si>
  <si>
    <t>Commerce</t>
  </si>
  <si>
    <t>hello@inpersonam.cc</t>
  </si>
  <si>
    <t>apichainakalasin@gmail.com</t>
  </si>
  <si>
    <t>Namfon Panjanapongchai @ oyorooms</t>
  </si>
  <si>
    <t>Design/UX,Engineering</t>
  </si>
  <si>
    <t>Muhammad Ari Aditya, S.Kom</t>
  </si>
  <si>
    <t>UI/UX Designer
 UI Engineer
 Senior Software Developer (Ruby)</t>
  </si>
  <si>
    <t>System Analyst Web Specialist &amp; Digital Strategist</t>
  </si>
  <si>
    <t>PT. Media Nusantara Citra Tbk</t>
  </si>
  <si>
    <t>https://www.linkedin.com/in/ariaditya/</t>
  </si>
  <si>
    <t>TourHero</t>
  </si>
  <si>
    <t>Travel</t>
  </si>
  <si>
    <t>Singapore (remote)</t>
  </si>
  <si>
    <t>https://angel.co/company/tourhero/jobs</t>
  </si>
  <si>
    <t>ari_aditya@ymail.com</t>
  </si>
  <si>
    <t>Marketing, Engineering, Data and analytics</t>
  </si>
  <si>
    <t>Cecep Yusuf @ PT. MNC, Tbk</t>
  </si>
  <si>
    <t>Sompong Olarnthatchanant</t>
  </si>
  <si>
    <t>https://www.linkedin.com/in/sompong-olarnthatchanant-a0928295/</t>
  </si>
  <si>
    <t>olarnthatchanant.s@gmail.com</t>
  </si>
  <si>
    <t>Sales, BD and Partnerships, Finance, Exec team</t>
  </si>
  <si>
    <t xml:space="preserve">Web Developer (Urgent to fill) </t>
  </si>
  <si>
    <t>Database design and programming with Microsoft SQL and MySQL</t>
  </si>
  <si>
    <t>Devender Singh</t>
  </si>
  <si>
    <t xml:space="preserve">1-2 years of experience </t>
  </si>
  <si>
    <t>Regional Sales Manager</t>
  </si>
  <si>
    <t>V-Key</t>
  </si>
  <si>
    <t xml:space="preserve">Tour Mount Bromo </t>
  </si>
  <si>
    <t>http://linkedin.com/in/devs018</t>
  </si>
  <si>
    <t xml:space="preserve">Travel </t>
  </si>
  <si>
    <t>Singapore Based</t>
  </si>
  <si>
    <t>https://employers.indeed.com/j#jobs/view?id=2f0333501175</t>
  </si>
  <si>
    <t>Dev.bizcom@gmail.com</t>
  </si>
  <si>
    <t>Mario Aquino CEO @ FutureLabs</t>
  </si>
  <si>
    <t>Raymond Lee</t>
  </si>
  <si>
    <t>Amy Tharnpipitchai</t>
  </si>
  <si>
    <t>Implementation Manager</t>
  </si>
  <si>
    <t>Revinate</t>
  </si>
  <si>
    <t>https://www.linkedin.com/in/amyamikat/</t>
  </si>
  <si>
    <t>amika.t@gmail.com</t>
  </si>
  <si>
    <t>Marketing, Product, Ops</t>
  </si>
  <si>
    <t>Anastasia K.</t>
  </si>
  <si>
    <t>Amy is a total pro at what she does! I have closely worked with her for 3 years. She has amazing attention to details and project management skills. Amy owned implementation projects from start to finish, nothing ever fell of the radar and we always counted on her to see a project through.  Not only Amy is a very skilled professional, she has also lead team Culture Club helping us build and grow our amazing team culture. This is such a rare quality for anyone with technical skills!</t>
  </si>
  <si>
    <t>Work Permit</t>
  </si>
  <si>
    <t>Senior Ruby Developer</t>
  </si>
  <si>
    <t>Branden Ho</t>
  </si>
  <si>
    <t>Saleswhale</t>
  </si>
  <si>
    <t>Responsibilities:
·         Design and develop applications in an agile development environment
·         Design and develop back or front-end end solutions and APIs
·         Rapidly prototype and refine applications based on user experience feedback
·         Collaborate with product managers and fellow engineers to establish and refine requirements
·         Provide mentorship for Junior and Intermediate Engineers on your team to help them grow in their technical responsibilities
Minimum Qualifications:
·        2-5 years of experience being a professional software engineer
·        2-3 years of recent and direct hands-on Ruby on Rails development experience
·        Experience designing, building high-availability web application
·        Experience of working with SQL databases such as MySQL, Postgres to write and fine tuning complex queries
·        Ability to optimize RoR code for performance tuning (using ActiveRecords and related tools)
·        Hands-on experience using logging and error monitoring tools (e.g. NewRelic, Solarwind, etc)
·        Desirable: Ruby on Rails related DevOps experience, working with Linux, GCP/AWS, Chef/Ansible, or similar products</t>
  </si>
  <si>
    <t>https://www.linkedin.com/in/brandenho/</t>
  </si>
  <si>
    <t>2-3 years experience</t>
  </si>
  <si>
    <t>Jualo</t>
  </si>
  <si>
    <t>Advertising</t>
  </si>
  <si>
    <t>tongpui@gmail.com</t>
  </si>
  <si>
    <t>Aileen Sim</t>
  </si>
  <si>
    <t>gesi@carro.co</t>
  </si>
  <si>
    <t>Gayani Abeyasinghe</t>
  </si>
  <si>
    <t>General Manager/ Head of a Business Unit</t>
  </si>
  <si>
    <t>MAS Holdings</t>
  </si>
  <si>
    <t>https://www.linkedin.com/in/gayani-abeyasinghe/</t>
  </si>
  <si>
    <t>DevOps Engineer</t>
  </si>
  <si>
    <t>gayani.abeyasinghe@gmail.com</t>
  </si>
  <si>
    <t>We are a small company that helps build, scale, and secure large-scale infrastructure for our clients. Most of our clients have web applications used by millions of users.
You Will Be Responsible For
Designing secure systems that can scale.
Testing and documenting what you build so that it’s repeatable.
Extending and maintaining our internal infrastructure.
We do not currently provide on-call service to any clients, as they are large enough to have their own technical staff on call.
Recent Projects
Built a serverless CI/CD system using GitHub Actions + AWS CodeBuild for dozens of repositories.
Crawled and archived a representative sample of the hosts present in the .com zone file.
Created a certificate-based VPN on AWS + Terraform with automated credential generation and revocation.
You Should
Be able to write concise, understandable code that does one thing well.
Understand TCP/IP, layer 7, and network security.
Have experience with large-scale systems (hundreds of servers, millions of users, or petabytes of data) or be willing to learn through continuous peer feedback.
Technologies We Use Internally
Our own infrastructure is small compared to our clients, but we take it just as seriously.
NixOS
Haskell
TypeScript
Bash (with ShellCheck)
Desired Skills and Experience
Bash, Git, Haskell, Large Scale Deployments, MySQL, Network Security, System Deployment, VPN, CD, TCP/IP, communications protocol</t>
  </si>
  <si>
    <t xml:space="preserve">Saw on LinedIn Post </t>
  </si>
  <si>
    <t xml:space="preserve">You Should
Be able to write concise, understandable code that does one thing well.
Understand TCP/IP, layer 7, and network security.
Have experience with large-scale systems (hundreds of servers, millions of users, or petabytes of data) or be willing to learn through continuous peer feedback.
</t>
  </si>
  <si>
    <t>Tetmon</t>
  </si>
  <si>
    <t>Require Singapore EP</t>
  </si>
  <si>
    <t>David Ramli</t>
  </si>
  <si>
    <t>https://www.linkedin.com/jobs/view/devops-engineer-at-tetmon-pte-ltd-1793957420/?originalSubdomain=sg</t>
  </si>
  <si>
    <t>https://www.linkedin.com/in/davidramli/</t>
  </si>
  <si>
    <t>kamardavid@icloud.com</t>
  </si>
  <si>
    <t>HR - SweetEscape</t>
  </si>
  <si>
    <t>Indonesia Citizen</t>
  </si>
  <si>
    <t>Astrid Aulia</t>
  </si>
  <si>
    <t>https://www.linkedin.com/in/astrid-aulia-37244b171/</t>
  </si>
  <si>
    <t>astaastrid0@gmail.com</t>
  </si>
  <si>
    <t>Sabrina, Marketing Manager @ SweetEscape</t>
  </si>
  <si>
    <t>Alvin, Head of Design</t>
  </si>
  <si>
    <t>ivan@tetmon.com</t>
  </si>
  <si>
    <t>Isabelle Tjokrosetio</t>
  </si>
  <si>
    <t xml:space="preserve">UX Designer and Graphics Manager </t>
  </si>
  <si>
    <t>Massachusetts Daily Collegian</t>
  </si>
  <si>
    <t>https://www.linkedin.com/in/itjokrosetio/</t>
  </si>
  <si>
    <t>Chief Commercial Officer</t>
  </si>
  <si>
    <t>itjokrosetio@gmail.com</t>
  </si>
  <si>
    <t>Jack Tucker (Savant Degrees)</t>
  </si>
  <si>
    <t>Singapore Permanent Resident, Indonesian citizen</t>
  </si>
  <si>
    <t>Tomi Eka Saputra</t>
  </si>
  <si>
    <t>S.tr.I.Kom (broadcasting)</t>
  </si>
  <si>
    <t>Jawapos tv Jakarta</t>
  </si>
  <si>
    <t>Tomiekasaputra</t>
  </si>
  <si>
    <t>tomyeka94@gmail.com</t>
  </si>
  <si>
    <t>Mahesa samola, CEO @ jawapos tv</t>
  </si>
  <si>
    <r>
      <t xml:space="preserve">As an executive team member of Homage, the </t>
    </r>
    <r>
      <rPr>
        <b/>
        <sz val="10"/>
        <rFont val="Arial"/>
      </rPr>
      <t>Chief Commercial Officer (CCO)</t>
    </r>
    <r>
      <rPr>
        <sz val="10"/>
        <color rgb="FF000000"/>
        <rFont val="Arial"/>
      </rPr>
      <t xml:space="preserve"> is responsible for the </t>
    </r>
    <r>
      <rPr>
        <b/>
        <sz val="10"/>
        <rFont val="Arial"/>
      </rPr>
      <t>performance, strategy, and alignment of revenue and commercial operations</t>
    </r>
    <r>
      <rPr>
        <sz val="10"/>
        <color rgb="FF000000"/>
        <rFont val="Arial"/>
      </rPr>
      <t xml:space="preserve"> in the company. This position is responsible for overseeing the </t>
    </r>
    <r>
      <rPr>
        <b/>
        <sz val="10"/>
        <rFont val="Arial"/>
      </rPr>
      <t>Sales, Business Development, as well as Customer Success departments</t>
    </r>
    <r>
      <rPr>
        <sz val="10"/>
        <color rgb="FF000000"/>
        <rFont val="Arial"/>
      </rPr>
      <t>, and ensuring that the interaction between those departments is aligned with the wider company strategy.</t>
    </r>
  </si>
  <si>
    <t>I didnt have</t>
  </si>
  <si>
    <t>No i am did'n have it</t>
  </si>
  <si>
    <r>
      <t xml:space="preserve">Minimum of </t>
    </r>
    <r>
      <rPr>
        <b/>
        <sz val="10"/>
        <rFont val="Arial"/>
      </rPr>
      <t>8-10 years of experience in direct sales and/or business development</t>
    </r>
    <r>
      <rPr>
        <sz val="10"/>
        <color rgb="FF000000"/>
        <rFont val="Arial"/>
      </rPr>
      <t xml:space="preserve">, including a </t>
    </r>
    <r>
      <rPr>
        <b/>
        <sz val="10"/>
        <rFont val="Arial"/>
      </rPr>
      <t>minimum of 5-7 years in a managerial position</t>
    </r>
    <r>
      <rPr>
        <sz val="10"/>
        <color rgb="FF000000"/>
        <rFont val="Arial"/>
      </rPr>
      <t xml:space="preserve">
Detailed knowledge of selling directly to organisations and B2B sales management
Experience in excelling in a fast-paced, high growth and rapidly changing healthcare or technology environment
Strong leadership qualities; manage and scale team, recruit and retain top talent, build consensus and rally members to achieve goals
Experience in establishing departmental budgets as well as driving sales improvement projects and initiatives</t>
    </r>
  </si>
  <si>
    <t>Stephen Tan</t>
  </si>
  <si>
    <t>VP Marketing &amp; Investor Relations</t>
  </si>
  <si>
    <t>Finteix Pte Ltd</t>
  </si>
  <si>
    <t>Healthtech</t>
  </si>
  <si>
    <t>https://www.linkedin.com/in/stephentan/</t>
  </si>
  <si>
    <t>https://homage.recruitee.com/o/chief-commercial-officer</t>
  </si>
  <si>
    <t>stephen@starfire.com.sg</t>
  </si>
  <si>
    <t>Michael Ngo, Special Projects @ Big Idea Ventures</t>
  </si>
  <si>
    <t>Singaporean with HK Work Permit</t>
  </si>
  <si>
    <t>Maria Agustin Triwahyuni</t>
  </si>
  <si>
    <t>Head of Operations and Partnership</t>
  </si>
  <si>
    <t>Hubud: Coworking Space</t>
  </si>
  <si>
    <t>https://www.linkedin.com/in/maria-agustin</t>
  </si>
  <si>
    <t>Apply via link or email alyssa@homage.co</t>
  </si>
  <si>
    <t>mariaagstri@gmail.com</t>
  </si>
  <si>
    <t>BD and Partnerships, Ops, Exec team</t>
  </si>
  <si>
    <t>Farah Fauzi, Techstars Regional Manager</t>
  </si>
  <si>
    <t>Steve Munroe, Cofounder of Hubud, Founder of Coworking Unconference Asia</t>
  </si>
  <si>
    <t>I'd be happy to provide email or phone for this referral</t>
  </si>
  <si>
    <t>Achmed Islamic Hernawan</t>
  </si>
  <si>
    <t>Web Developer (PHP)</t>
  </si>
  <si>
    <t>Director of Sales &amp; BD</t>
  </si>
  <si>
    <t>Bappeda NTB</t>
  </si>
  <si>
    <t>https://www.linkedin.com/in/achmed-islamic-hernawan-97b046ba/</t>
  </si>
  <si>
    <r>
      <t xml:space="preserve">The </t>
    </r>
    <r>
      <rPr>
        <b/>
        <sz val="10"/>
        <rFont val="Arial"/>
      </rPr>
      <t>Director of Sales &amp; Business Development</t>
    </r>
    <r>
      <rPr>
        <sz val="10"/>
        <color rgb="FF000000"/>
        <rFont val="Arial"/>
      </rPr>
      <t xml:space="preserve"> is responsible for </t>
    </r>
    <r>
      <rPr>
        <b/>
        <sz val="10"/>
        <rFont val="Arial"/>
      </rPr>
      <t>driving and developing Homage’s partnerships, driving strategy and a strong partnership pipeline</t>
    </r>
    <r>
      <rPr>
        <sz val="10"/>
        <color rgb="FF000000"/>
        <rFont val="Arial"/>
      </rPr>
      <t xml:space="preserve"> to deliver impactful growth for Homage. The role will manage both direct and inside sales functions and </t>
    </r>
    <r>
      <rPr>
        <b/>
        <sz val="10"/>
        <rFont val="Arial"/>
      </rPr>
      <t>lead Homage’s care advisory unit as well as care network partnerships</t>
    </r>
    <r>
      <rPr>
        <sz val="10"/>
        <color rgb="FF000000"/>
        <rFont val="Arial"/>
      </rPr>
      <t xml:space="preserve">. 
</t>
    </r>
  </si>
  <si>
    <r>
      <t xml:space="preserve">Minimum of </t>
    </r>
    <r>
      <rPr>
        <b/>
        <sz val="10"/>
        <rFont val="Arial"/>
      </rPr>
      <t>5-8 years of experience in direct sales and/or business development</t>
    </r>
    <r>
      <rPr>
        <sz val="10"/>
        <color rgb="FF000000"/>
        <rFont val="Arial"/>
      </rPr>
      <t xml:space="preserve">, including a </t>
    </r>
    <r>
      <rPr>
        <b/>
        <sz val="10"/>
        <rFont val="Arial"/>
      </rPr>
      <t>minimum of 3-5 years in a managerial position</t>
    </r>
    <r>
      <rPr>
        <sz val="10"/>
        <color rgb="FF000000"/>
        <rFont val="Arial"/>
      </rPr>
      <t xml:space="preserve">
Detailed knowledge of selling directly to organisations and B2B sales management
Experience in excelling in a fast-paced, high growth and rapidly changing healthcare or technology environment
Ability to initiate and close deals end-to-end, build relationships and trust though consultative approach</t>
    </r>
  </si>
  <si>
    <t>https://homage.recruitee.com/o/director-of-sales-business-development</t>
  </si>
  <si>
    <t>achmedislamic@outlook.com</t>
  </si>
  <si>
    <t>From Twitter @dondihananto</t>
  </si>
  <si>
    <t>Amran Bin Bachok @Teknologi KBSE Malaysia</t>
  </si>
  <si>
    <t>I thoroughly enjoyed my time working with Achmed and came to know him as a truly valuable asset to absolutely any team. He is honest, dependable, incredibly hard-working and a talented as a programmer.</t>
  </si>
  <si>
    <t>Kasyfi Rahman Syafa</t>
  </si>
  <si>
    <t>Community and Events Manager</t>
  </si>
  <si>
    <t>https://www.linkedin.com/in/iamkasyfi/</t>
  </si>
  <si>
    <t>iamkasyfi@gmail.com</t>
  </si>
  <si>
    <t>Marketing, Product, Exec team, HR, People, Talent</t>
  </si>
  <si>
    <t>Maria Agustin, Hubud's Former Head of Operation</t>
  </si>
  <si>
    <t>Maria Agustin, Co-Founder or E.thical</t>
  </si>
  <si>
    <t>Kasyfi is an amazing event curator and the one who lead our community at Hubud. He's independent and able to work on projects autonomously.</t>
  </si>
  <si>
    <t>Alfredo Simanjuntak</t>
  </si>
  <si>
    <t>PT Paus Skala Teknologi (whee Indonesia)</t>
  </si>
  <si>
    <t>https://www.linkedin.com/in/alfredo-simanjuntak-231b36a3/</t>
  </si>
  <si>
    <t>Head of Inside Sales (Manager level available)</t>
  </si>
  <si>
    <r>
      <t xml:space="preserve">Inside Sales and Customer Success at Homage is changing fast to meet company growth. The Head of Inside Sales will </t>
    </r>
    <r>
      <rPr>
        <b/>
        <sz val="10"/>
        <rFont val="Arial"/>
      </rPr>
      <t>head Homage’s Care Advisory function</t>
    </r>
    <r>
      <rPr>
        <sz val="10"/>
        <color rgb="FF000000"/>
        <rFont val="Arial"/>
      </rPr>
      <t xml:space="preserve"> to serve a key role in two major components of the Homage experience – first, helping families who need caregiving </t>
    </r>
    <r>
      <rPr>
        <b/>
        <sz val="10"/>
        <rFont val="Arial"/>
      </rPr>
      <t>understand and select our solution and service</t>
    </r>
    <r>
      <rPr>
        <sz val="10"/>
        <color rgb="FF000000"/>
        <rFont val="Arial"/>
      </rPr>
      <t xml:space="preserve"> and secondly, </t>
    </r>
    <r>
      <rPr>
        <b/>
        <sz val="10"/>
        <rFont val="Arial"/>
      </rPr>
      <t>provide consultative advice from deep expertise</t>
    </r>
    <r>
      <rPr>
        <sz val="10"/>
        <color rgb="FF000000"/>
        <rFont val="Arial"/>
      </rPr>
      <t xml:space="preserve"> continuously built in home care and helping ensure the needs of our clients are deeply met.</t>
    </r>
  </si>
  <si>
    <t>alfredo.simanjuntak89@gmail.com</t>
  </si>
  <si>
    <r>
      <t xml:space="preserve">Minimum of </t>
    </r>
    <r>
      <rPr>
        <b/>
        <sz val="10"/>
        <rFont val="Arial"/>
      </rPr>
      <t>5 years experience in a professional sales role</t>
    </r>
    <r>
      <rPr>
        <sz val="10"/>
        <color rgb="FF000000"/>
        <rFont val="Arial"/>
      </rPr>
      <t xml:space="preserve"> with a </t>
    </r>
    <r>
      <rPr>
        <b/>
        <sz val="10"/>
        <rFont val="Arial"/>
      </rPr>
      <t xml:space="preserve">minimum of 2 years experience leading a team
</t>
    </r>
    <r>
      <rPr>
        <sz val="10"/>
        <color rgb="FF000000"/>
        <rFont val="Arial"/>
      </rPr>
      <t>Obsessively needs and consultative-driven, you enjoy driving the adoption of services that solves a key problem and pain point to people
Bachelor’s degree or equivalent experience with inside/outside sales
Experience in consulting, hospitality, startups or healthcare-related inside or outside sales is a plus</t>
    </r>
  </si>
  <si>
    <t>Dicky Dewantoro, CEO @ whee.co.id</t>
  </si>
  <si>
    <t>Muhammad Ridwan N.S. (Director whee Business); Sal Prima (COO whee Indonesia)</t>
  </si>
  <si>
    <t>Alfredo is great leader who work closely with cross function, management and C-Level and get the work done swiftly. His personality and communication skill helps the company to move forward.</t>
  </si>
  <si>
    <t>https://homage.recruitee.com/o/head-of-inside-sales-manager-role-available</t>
  </si>
  <si>
    <t>Yes, outside Indonesia</t>
  </si>
  <si>
    <t xml:space="preserve">Pamela Sng </t>
  </si>
  <si>
    <t xml:space="preserve">Event Director </t>
  </si>
  <si>
    <t xml:space="preserve">Chab Pte Ltd </t>
  </si>
  <si>
    <t>https://www.linkedin.com/in/pamelasng/</t>
  </si>
  <si>
    <t>pamela@needaplanner.com</t>
  </si>
  <si>
    <t xml:space="preserve">Asif Ansar </t>
  </si>
  <si>
    <t xml:space="preserve">Paul Seow </t>
  </si>
  <si>
    <t>Pamela was an absolute pleasure to work with at The Working Capitol. Her experience and industry relationships helped to open doors and accelerate our growth as a event destination.  She spearheaded our events team and was directly responsible for sales outreach and client relationship management. She masterminded the launch of the space and hosted heavy hitters like Hermes, MasterCard, General Assembly and Guava pass in both single and multi-day/multi-venue events.  A hands-on straight shooter that has the ability to think out of the box and deliver events that catered to external clients, the internal co-working community and company marketing/branding activations.</t>
  </si>
  <si>
    <t>Valery Karnaen</t>
  </si>
  <si>
    <t>Fleischhacker Solution Indonesia</t>
  </si>
  <si>
    <t>https://www.linkedin.com/mwlite/in/v-mercy-k-243646117</t>
  </si>
  <si>
    <t>Director of Partner Account Management</t>
  </si>
  <si>
    <r>
      <t xml:space="preserve">The Director of Partner Account Management is primarily responsible for </t>
    </r>
    <r>
      <rPr>
        <b/>
        <sz val="10"/>
        <rFont val="Arial"/>
      </rPr>
      <t>leading the client services relationship with several of our key partners</t>
    </r>
    <r>
      <rPr>
        <sz val="10"/>
        <color rgb="FF000000"/>
        <rFont val="Arial"/>
      </rPr>
      <t xml:space="preserve">. This includes the </t>
    </r>
    <r>
      <rPr>
        <b/>
        <sz val="10"/>
        <rFont val="Arial"/>
      </rPr>
      <t>design, development and successful deployment of Homage’s services and providing continuous operational support to our partners</t>
    </r>
    <r>
      <rPr>
        <sz val="10"/>
        <color rgb="FF000000"/>
        <rFont val="Arial"/>
      </rPr>
      <t>.</t>
    </r>
  </si>
  <si>
    <t>Valery-Mercy.Karnaen@gmx.de</t>
  </si>
  <si>
    <t>Marketing, Sales, Ops, Data and analytics</t>
  </si>
  <si>
    <t>Esther Nainggolan @ Blindspace</t>
  </si>
  <si>
    <r>
      <t xml:space="preserve">Minimum of </t>
    </r>
    <r>
      <rPr>
        <b/>
        <sz val="10"/>
        <rFont val="Arial"/>
      </rPr>
      <t>5 years experience in a professional key account management role</t>
    </r>
    <r>
      <rPr>
        <sz val="10"/>
        <color rgb="FF000000"/>
        <rFont val="Arial"/>
      </rPr>
      <t xml:space="preserve"> with a </t>
    </r>
    <r>
      <rPr>
        <b/>
        <sz val="10"/>
        <rFont val="Arial"/>
      </rPr>
      <t xml:space="preserve">minimum of 2 years experience leading a team
</t>
    </r>
    <r>
      <rPr>
        <sz val="10"/>
        <color rgb="FF000000"/>
        <rFont val="Arial"/>
      </rPr>
      <t>Obsessively needs and consultative-driven, you enjoy driving the adoption of services that solves a key problem and pain point to people
Bachelor’s degree or equivalent experience with account management or sales
Experience in consulting, hospitality, startups or healthcare-related direct sales is a plus</t>
    </r>
  </si>
  <si>
    <t>Aileen Laksana (Medical Specialist Manager)</t>
  </si>
  <si>
    <t>Yessica Saragih (IT Developer Product specialist)</t>
  </si>
  <si>
    <t>Indonesian citizen</t>
  </si>
  <si>
    <t>https://homage.recruitee.com/o/director-of-partner-account-management</t>
  </si>
  <si>
    <t>Chen Shuwen Stefanie</t>
  </si>
  <si>
    <t>Sales and Marketing Manager</t>
  </si>
  <si>
    <t xml:space="preserve">Shuga Pte Ltd </t>
  </si>
  <si>
    <t>https://www.linkedin.com/in/stefaniechenshuwen/</t>
  </si>
  <si>
    <t>stefaniechenshuwen@gmail.com</t>
  </si>
  <si>
    <t>Friend (ex-Grab)</t>
  </si>
  <si>
    <t>Wong Weixuan, Business Development Manager</t>
  </si>
  <si>
    <t>Stefanie is a intelligent, passionate, and creative individual. Her creativity and eye-for-detail is infectious, and you can count on her to brainstorm and create novel ideas which promise to deliver results. I am honoured to have worked alongside Stefanie. She is an exceptional manager, team member, and friend; her skills and personality will prove to be a great asset to any organization she joins.</t>
  </si>
  <si>
    <t>Fikri Yathir</t>
  </si>
  <si>
    <t>Co-Founder</t>
  </si>
  <si>
    <t>NasiBaik</t>
  </si>
  <si>
    <t>yathirfikri@gmail.com</t>
  </si>
  <si>
    <t>Maria Gode from Hubud Bali</t>
  </si>
  <si>
    <t>Lily Yulianti Farid</t>
  </si>
  <si>
    <t>Awid Setyohutomo</t>
  </si>
  <si>
    <t>Sales executive</t>
  </si>
  <si>
    <t>Astra International- Toyota Sales Operation</t>
  </si>
  <si>
    <t>https://www.linkedin.com/in/awid-setyohutomo-2b47112b</t>
  </si>
  <si>
    <r>
      <t xml:space="preserve">The product management team works closely with our engineers to </t>
    </r>
    <r>
      <rPr>
        <b/>
        <sz val="10"/>
        <rFont val="Arial"/>
      </rPr>
      <t>define and deliver products from conception to launch</t>
    </r>
    <r>
      <rPr>
        <sz val="10"/>
        <color rgb="FF000000"/>
        <rFont val="Arial"/>
      </rPr>
      <t xml:space="preserve">. As part of the product group you bridge the creative, technical and business worlds as you design services that our users love.
In this role you will collaborate closely with Homagers from Engineering, Care Operations, Sales, Marketing, Account Management and other cross-functional team members to </t>
    </r>
    <r>
      <rPr>
        <b/>
        <sz val="10"/>
        <rFont val="Arial"/>
      </rPr>
      <t>create, test, prioritize, and implement compelling product strategies and features</t>
    </r>
    <r>
      <rPr>
        <sz val="10"/>
        <color rgb="FF000000"/>
        <rFont val="Arial"/>
      </rPr>
      <t xml:space="preserve">. </t>
    </r>
  </si>
  <si>
    <t>Awid.setyo01@gmail.com</t>
  </si>
  <si>
    <r>
      <rPr>
        <b/>
        <sz val="10"/>
        <rFont val="Arial"/>
      </rPr>
      <t>Minimum Requirements</t>
    </r>
    <r>
      <rPr>
        <sz val="10"/>
        <color rgb="FF000000"/>
        <rFont val="Arial"/>
      </rPr>
      <t xml:space="preserve">
BA/BS in a technical field or equivalent practical experience
5 years work experience in product management for online or mobile services
Familiar with agile web development and project management
Knowledgeable across multiple functional areas including user experience design, management, engineering, UI, customer support and marketing. 
</t>
    </r>
    <r>
      <rPr>
        <b/>
        <sz val="10"/>
        <rFont val="Arial"/>
      </rPr>
      <t>Preferred qualifications</t>
    </r>
    <r>
      <rPr>
        <sz val="10"/>
        <color rgb="FF000000"/>
        <rFont val="Arial"/>
      </rPr>
      <t xml:space="preserve">
Previous product design, engineering experience or experience working on product at a startup is highly valued 
BA/BS in Computer Science preferred
Product management or UI/UX design experience with a focus on software products and technologies that are consumer-driven or B2B-driven.
Entrepreneurial drive and demonstrated ability to achieve stretch goals in an innovative and fast-paced environment.</t>
    </r>
  </si>
  <si>
    <t>Annisa Rafida Laili</t>
  </si>
  <si>
    <t>https://homage.recruitee.com/o/senior-product-manager</t>
  </si>
  <si>
    <t>PT Partner Impian Milenial (Schoters)</t>
  </si>
  <si>
    <t>linkedin.com/in/annisa-rafida-laili-7704131a3</t>
  </si>
  <si>
    <t>rfdannisa24@gmail.com</t>
  </si>
  <si>
    <t>Nanda Kartika Ayu, Head of BD and Partnership @ Schoters</t>
  </si>
  <si>
    <t>Nanda Kartika Ayu - Head of BD and Partnership</t>
  </si>
  <si>
    <t>I worked with Annisa in completing a number of joint projects, in a short time I could find out that at a young age she was a fast and smart learner and can easily adapt to a flexible environment.</t>
  </si>
  <si>
    <t>Anastasia Gretti Schender</t>
  </si>
  <si>
    <t>Content (Social Media) Marketing Manager</t>
  </si>
  <si>
    <t>HijUp</t>
  </si>
  <si>
    <t>https://www.linkedin.com/in/anastasia-gretti-schender-1a299b70/</t>
  </si>
  <si>
    <t>Apply via link</t>
  </si>
  <si>
    <t>gege_tasya@yahoo.com</t>
  </si>
  <si>
    <t>CEO HijUp</t>
  </si>
  <si>
    <t>Opik Tri Handono</t>
  </si>
  <si>
    <t>PR &amp; Marketing Lead</t>
  </si>
  <si>
    <t>No, i'm not engineer</t>
  </si>
  <si>
    <t>QRIM Express</t>
  </si>
  <si>
    <t>https://www.linkedin.com/in/opiktrihandono/</t>
  </si>
  <si>
    <r>
      <t xml:space="preserve">Homage is looking for a PR &amp; Community Lead strongly aligned with our mission to transform the way people access and get personal care. You will </t>
    </r>
    <r>
      <rPr>
        <b/>
        <sz val="10"/>
        <rFont val="Arial"/>
      </rPr>
      <t>define and lead all PR, Community &amp; Outreach strategy for Homage across all markets and through both online and offline channels</t>
    </r>
    <r>
      <rPr>
        <sz val="10"/>
        <color rgb="FF000000"/>
        <rFont val="Arial"/>
      </rPr>
      <t xml:space="preserve">. You will be responsible for working collaboratively with internal &amp; external teams across the region to help maintain and advance Homage’s position with all relevant stakeholders, including but not limited to the </t>
    </r>
    <r>
      <rPr>
        <b/>
        <sz val="10"/>
        <rFont val="Arial"/>
      </rPr>
      <t>media, public, and authorities</t>
    </r>
    <r>
      <rPr>
        <sz val="10"/>
        <color rgb="FF000000"/>
        <rFont val="Arial"/>
      </rPr>
      <t>.</t>
    </r>
  </si>
  <si>
    <r>
      <t xml:space="preserve">Minimum of </t>
    </r>
    <r>
      <rPr>
        <b/>
        <sz val="10"/>
        <rFont val="Arial"/>
      </rPr>
      <t>2 - 5 years relevant work experience in marketing, growth, community or PR</t>
    </r>
    <r>
      <rPr>
        <sz val="10"/>
        <color rgb="FF000000"/>
        <rFont val="Arial"/>
      </rPr>
      <t xml:space="preserve">, with </t>
    </r>
    <r>
      <rPr>
        <b/>
        <sz val="10"/>
        <rFont val="Arial"/>
      </rPr>
      <t>1 - 2 years of managerial experience</t>
    </r>
    <r>
      <rPr>
        <sz val="10"/>
        <color rgb="FF000000"/>
        <rFont val="Arial"/>
      </rPr>
      <t xml:space="preserve">.
</t>
    </r>
    <r>
      <rPr>
        <b/>
        <sz val="10"/>
        <rFont val="Arial"/>
      </rPr>
      <t>Excellent communication</t>
    </r>
    <r>
      <rPr>
        <sz val="10"/>
        <color rgb="FF000000"/>
        <rFont val="Arial"/>
      </rPr>
      <t xml:space="preserve">: Both written and verbal skills.; a keen visual sense with an eye for detail and a quick wit. Similarly you hold team members to that level of standard.
</t>
    </r>
    <r>
      <rPr>
        <b/>
        <sz val="10"/>
        <rFont val="Arial"/>
      </rPr>
      <t>Resourceful</t>
    </r>
    <r>
      <rPr>
        <sz val="10"/>
        <color rgb="FF000000"/>
        <rFont val="Arial"/>
      </rPr>
      <t xml:space="preserve">: Strong project management skills with an ability to multi-task, work within tight deadlines, adjust to changes in priorities and balance short-term needs with long-term strategic initiatives
</t>
    </r>
    <r>
      <rPr>
        <b/>
        <sz val="10"/>
        <rFont val="Arial"/>
      </rPr>
      <t>Personal leadership</t>
    </r>
    <r>
      <rPr>
        <sz val="10"/>
        <color rgb="FF000000"/>
        <rFont val="Arial"/>
      </rPr>
      <t xml:space="preserve">: You’re comfortable functioning individually, and also as a team player. You’re self-accountable and understand the importance of being effective and reliable.
</t>
    </r>
    <r>
      <rPr>
        <b/>
        <sz val="10"/>
        <rFont val="Arial"/>
      </rPr>
      <t>Impact-driven and persistent</t>
    </r>
    <r>
      <rPr>
        <sz val="10"/>
        <color rgb="FF000000"/>
        <rFont val="Arial"/>
      </rPr>
      <t xml:space="preserve">: Motivated by moving the needle meaningfully, especially during times when it requires persistence and courage.
</t>
    </r>
    <r>
      <rPr>
        <b/>
        <sz val="10"/>
        <rFont val="Arial"/>
      </rPr>
      <t>Strong opinions, loosely held</t>
    </r>
    <r>
      <rPr>
        <sz val="10"/>
        <color rgb="FF000000"/>
        <rFont val="Arial"/>
      </rPr>
      <t>: Ability to articulate POV with clarity, humility, and a willingness to question one’s own assumptions / desire to constantly improve.
Integrity and trustworthiness
A passion for caregiving while leading with empathy is a plus
Experience and understanding of the healthcare industry is a major plus</t>
    </r>
  </si>
  <si>
    <t>opiktrihandono@gmail.com</t>
  </si>
  <si>
    <t>Ribka Pratiwi, Head of Marketing @ QRIM Express</t>
  </si>
  <si>
    <t>https://homage.recruitee.com/o/pr-marketing-lead</t>
  </si>
  <si>
    <t>Lydia Inawati</t>
  </si>
  <si>
    <t>https://www.linkedin.com/in/lydia-inawati-9472429a/</t>
  </si>
  <si>
    <t>lydiainawati@gmail.com</t>
  </si>
  <si>
    <t>Phasunun Thaniyanunthakul</t>
  </si>
  <si>
    <t>Product Owner</t>
  </si>
  <si>
    <t>M17 Services</t>
  </si>
  <si>
    <t>https://www.linkedin.com/in/ploy-thaniyanunthakul-5a51b685/</t>
  </si>
  <si>
    <t>ploy28@gmail.com</t>
  </si>
  <si>
    <t>Engineering, Product, Design</t>
  </si>
  <si>
    <t>Nick, Director at M17</t>
  </si>
  <si>
    <t>Mark Anthony Porlas Esperida</t>
  </si>
  <si>
    <t>Data Scientist</t>
  </si>
  <si>
    <t>Snapcart</t>
  </si>
  <si>
    <t>https://www.linkedin.com/in/mesperida/</t>
  </si>
  <si>
    <t>NodeJs Developer - Fintech</t>
  </si>
  <si>
    <t xml:space="preserve">We are looking for a Node.js Developer responsible for managing the interchange of data between the server and users.
Your primary focus will be the development of server-side logic, and ensuring high performance and responsiveness to requests from the front-end.
You will also be responsible for integrating the front-end elements built by your co-workers into the application.
Therefore, a basic understanding of front-end technologies is necessary as well.
Responsibilities
•        Integration of user-facing elements developed by front-end developers with server-side logic
•        Writing reusable, testable, and efficient code
•        Design and implementation of low-latency, high-availability, and performant applications
Skills
•        Strong proficiency with JavaScript
•        Knowledge of Node.js and frameworks available for it such as Express
•        Understanding the nature of asynchronous programming and its quirks and workarounds
•        Some understanding of front-end technologies, such as HTML5, and CSS3. Understanding of React is a strong plus
•        Understanding fundamental design principles behind a scalable application
•        Proficient understanding of code versioning tools, such as Git
</t>
  </si>
  <si>
    <t>Preferably Singaporean/PR
•        Strong proficiency with JavaScript
•        Knowledge of Node.js and frameworks available for it such as Express</t>
  </si>
  <si>
    <t>Call-Levels</t>
  </si>
  <si>
    <t>www.call-levels.com</t>
  </si>
  <si>
    <t>esperida.markanthony@gmail.com</t>
  </si>
  <si>
    <t>Noon, Co-Founder at Snapcart</t>
  </si>
  <si>
    <t>Boaz Yemini</t>
  </si>
  <si>
    <t>Clinch Labs</t>
  </si>
  <si>
    <t>https://www.linkedin.com/in/boazquant</t>
  </si>
  <si>
    <t>Ivan@call-levels.com</t>
  </si>
  <si>
    <t>boaz.quant@gmail.com</t>
  </si>
  <si>
    <t>Marketing, Engineering, Product, Data and analytics</t>
  </si>
  <si>
    <t>Ported from HOOQ List w/ consent</t>
  </si>
  <si>
    <t>https://www.linkedin.com/in/yaroncohen/</t>
  </si>
  <si>
    <t>Front-end developer</t>
  </si>
  <si>
    <t>Trifitri Muhammaditta</t>
  </si>
  <si>
    <t>Bachelor of Political Sciences (International Relations)</t>
  </si>
  <si>
    <t xml:space="preserve">We are seeking driven, detail-oriented front-end developers with a deep understanding of JavaScript to join our growing team. You will be working on building the bridge between design and technical implementation.
The successful candidates will be involved in exciting projects building enterprise solutions for banks and financial institutes using cutting-edge technologies.
Job Responsibilities:
•        Write testable, scalable JavaScript code.
•        Build modular, reusable components and features.
•        Actively participate in code reviews and daily standups.
Job Skills &amp; Qualifications:
Required:
•        Expert knowledge of HTML, CSS
•        Expert knowledge of Core JavaScript Concepts and React
Preferred:
•        Experience with Redux, rxjs, typescript, ES6/7 and webpack
•        Experience with Jest or Mocha testing environment
•        Experience with NodeJS
</t>
  </si>
  <si>
    <t>RefillMyBottle</t>
  </si>
  <si>
    <t>Preferably Singaporean/PR
•        Expert knowledge of HTML, CSS
•        Expert knowledge of Core JavaScript Concepts and React</t>
  </si>
  <si>
    <t>https://www.linkedin.com/in/trifitri-muhammaditta-91342812b/</t>
  </si>
  <si>
    <t>trifitmditta@gmail.com</t>
  </si>
  <si>
    <t>Yulfitri Pramatatya, Events Team @ Green School Bali</t>
  </si>
  <si>
    <t>Ditta is self-organized, pro-active, also flexible and adaptive when it comes to last-minute changes, which are some of the reasons why she's an incredibly reliable person to work with. She demonstrates strong leadership as well as community engagement through working collaboratively alongside her team.</t>
  </si>
  <si>
    <t>olivia purba</t>
  </si>
  <si>
    <t>Digital Marketing Specialist</t>
  </si>
  <si>
    <t>Ecologes Indonesia</t>
  </si>
  <si>
    <t>https://www.linkedin.com/in/odianina/</t>
  </si>
  <si>
    <t>olivia.d.purba@gmail.com</t>
  </si>
  <si>
    <t>Maria Gode @Hubud</t>
  </si>
  <si>
    <t>Gede Ori, Head of Ecolgoes Indonesia</t>
  </si>
  <si>
    <t>I am indonesian citizen with full right to work in indonesia</t>
  </si>
  <si>
    <t>Roberto Renaldy Susanto</t>
  </si>
  <si>
    <t>business development partnership specialist</t>
  </si>
  <si>
    <t>http://linkedin.com/in/robertorenaldysusanto</t>
  </si>
  <si>
    <t>roberto.renaldy@gmail.com</t>
  </si>
  <si>
    <r>
      <rPr>
        <b/>
        <sz val="10"/>
        <rFont val="Arial"/>
      </rPr>
      <t xml:space="preserve">About the Company
</t>
    </r>
    <r>
      <rPr>
        <sz val="10"/>
        <color rgb="FF000000"/>
        <rFont val="Arial"/>
      </rPr>
      <t xml:space="preserve">Hashstacs Pte Ltd (“STACS”) – A Singapore-headquartered fintech firm which provides distributed ledger technology solutions for the financial world. With the inevitable market evolution, our technology bridges traditional finance, commercial markets and Blockchain, while incorporating regulatory requirements. Our vision is to be the underlying Distributed Ledger Technology on which Financial Market Infrastructure is built upon. Our product is a next generation blockchain infrastructure that allows Financial Institutions to manage and trade digital financial assets simply, and current clients include financial institutions like banks, stock exchanges, asset managers and broker-dealers. 
</t>
    </r>
    <r>
      <rPr>
        <b/>
        <sz val="10"/>
        <rFont val="Arial"/>
      </rPr>
      <t xml:space="preserve">Job Description </t>
    </r>
    <r>
      <rPr>
        <sz val="10"/>
        <color rgb="FF000000"/>
        <rFont val="Arial"/>
      </rPr>
      <t xml:space="preserve">
You will be responsible for business development activities and initiatives such as, but not limited to:
•        Identify and guide prospects down the sales funnel. Follow up on leads and opportunities, pursue and win new deals, to achieve growth and revenue targets. Engage with clients to drive adoption and close sales of STACS blockchain solutions. 
•        Build up in-depth knowledge of the client’s business and establish a strong network within the client’s organization on various levels (Business, Technology, Management etc.). Identify and maintain good business relationship with the major decision-makers and influencers. 
•        Present STACS blockchain solutions to the clients, such as exchanges, banks, broker-dealers, asset management firms, clearing houses, custodians, central banks, regulators.
•        Negotiate contracts and legal agreements with clients as you move them from initial adoption through production deployments. 
•        Undertake individual tasks of a business development strategy as assigned.
•        Represent STACS at industry events and conferences. 
You should expect your role to evolve during your time at STACS, with plenty of growth potential and opportunities.
</t>
    </r>
  </si>
  <si>
    <t>Shopee</t>
  </si>
  <si>
    <t>Ananda Buraityte</t>
  </si>
  <si>
    <t>Sales and Marketing Rep</t>
  </si>
  <si>
    <t>Salka Whale Watching</t>
  </si>
  <si>
    <t>https://www.linkedin.com/in/ananda-buraityte-0a729812b/</t>
  </si>
  <si>
    <r>
      <rPr>
        <b/>
        <sz val="10"/>
        <rFont val="Arial"/>
      </rPr>
      <t xml:space="preserve">Requirement:
</t>
    </r>
    <r>
      <rPr>
        <sz val="10"/>
        <color rgb="FF000000"/>
        <rFont val="Arial"/>
      </rPr>
      <t xml:space="preserve">•	Minimum few years of Business Development experience and proven relevant track-record – coverage of financial institutions or experience in financial software sales is advantageous.
•	Advanced/Higher/Graduate Diploma, Bachelor’s Degree from a recognized institute, preferably specializing in Business/Banking/Computer Science related disciplines.
</t>
    </r>
    <r>
      <rPr>
        <b/>
        <sz val="10"/>
        <rFont val="Arial"/>
      </rPr>
      <t xml:space="preserve">What you will need to thrive:
</t>
    </r>
    <r>
      <rPr>
        <sz val="10"/>
        <color rgb="FF000000"/>
        <rFont val="Arial"/>
      </rPr>
      <t xml:space="preserve">•	Values teamwork above all.
•	Natural curiosity to learn.
•	Intrinsically motivated personality.
•	Strong communication skills.
•	Empathy and customer relationship management skills.
•	Self-starter who thrives on complexity and independence.
•	Professional in business conduct.
•	Not afraid of long hours when necessary; able to handle stress well and maintain a positive attitude.
</t>
    </r>
  </si>
  <si>
    <t>Hashstacs</t>
  </si>
  <si>
    <t>Capital Markets, 
Financial Industry, 
Fintech/Blockchain</t>
  </si>
  <si>
    <t>buraityte@gmail.com</t>
  </si>
  <si>
    <t>Iceland</t>
  </si>
  <si>
    <t>EU citizen</t>
  </si>
  <si>
    <t>Please send your CVs to fidia.lim@stacs.io</t>
  </si>
  <si>
    <t>Wyse Lau</t>
  </si>
  <si>
    <t>Innovation &amp; Entrepreneurship Engineer / Creative Technologist</t>
  </si>
  <si>
    <t>SkyMaker Technology Solutions</t>
  </si>
  <si>
    <t>www.linkedin.com/in/wyse-lau-skymaker/</t>
  </si>
  <si>
    <t>yc_lau@rocketmail.com</t>
  </si>
  <si>
    <t>Engineering, Ops, Exec team, Design</t>
  </si>
  <si>
    <t>Maria Gode @ [E]thical Indonesia</t>
  </si>
  <si>
    <t>The Malaysian may visit Brunei, Indonesia, the Philippines, Singapore and Thailand without a visa</t>
  </si>
  <si>
    <t>Neyna Rahmadani</t>
  </si>
  <si>
    <t>Graphic designer &amp; photographer</t>
  </si>
  <si>
    <t>Natural Instinct Healing</t>
  </si>
  <si>
    <t>http://linkedin.com/in/neynarhm</t>
  </si>
  <si>
    <t>Investment Analyst/Associate</t>
  </si>
  <si>
    <t>- Source investment opportunities
- Conduct due diligence
- Financial modeling
- Process multiple investment opportunities concurrently
- Build and maintain relationships with multiple ecosystem stakeholders and partners</t>
  </si>
  <si>
    <t>- 1-2+ years of  direct venture investing experience or similar, applicable prior professional, entrepreneurial or product experience (or extensive internship experience in similar/applicable fields);
- Strong financial modeling capabilities, analytical, financial analysis, organizational, and writing skills
- Strong people management skills with the ability to work as a part of a team but also independently
- Exceptional non-transactional, long-term relationship building ability
- Must be a quick learner and can adapt to changing business environments
- Highly motivated, self-driven and demonstrates deep level of interest towards the tech space
- Willing to travel (Post Covid)
- Must be fluent in English (spoken and written)
- Bachelor's degree required; MBA a plus</t>
  </si>
  <si>
    <t>MDI Ventures</t>
  </si>
  <si>
    <t>neynarahmadani@gmail.com</t>
  </si>
  <si>
    <t>Maria Gode (formerly worked for Hubud Bali)</t>
  </si>
  <si>
    <t xml:space="preserve">Monica Octaviani - Bali-based illustrator </t>
  </si>
  <si>
    <t>Neyna is a graphic designer who loves to learn. She’s an avid book reader, creative and logic person, and loves to work in a well-organized or systematic way. Apart from that, she’s a really great friend to hang out with.</t>
  </si>
  <si>
    <t>Dwi Susanto</t>
  </si>
  <si>
    <t>IT Development Manager</t>
  </si>
  <si>
    <t>Abata Citra Solusi</t>
  </si>
  <si>
    <t>https://www.linkedin.com/in/dwi-susanto29/</t>
  </si>
  <si>
    <t>herdiany.agustine@mdi.vc 
Title: “Recruitment-2020-[POSITION]-[FULL NAME]"</t>
  </si>
  <si>
    <t>dw.susanto@gmail.com</t>
  </si>
  <si>
    <t>Social Media</t>
  </si>
  <si>
    <t>Incubation Officer</t>
  </si>
  <si>
    <t>Supporting MDI Ventures Incubation team in operating Indigo Incubator
- Sourcing early-stage startups
- Due Diligence
- Handling mentoring/ workshop events</t>
  </si>
  <si>
    <t>Shella Meliyana</t>
  </si>
  <si>
    <t>- 1 year of experience in similar industry (direct venture investing, investment institute, consulting, advisory, startup) or fresh graduate with extensive internship experience in simlar/applicable fields.
- Must have a keen interest into startup/tech/VC industry
- Must posses good communication skills
- Must be fluent in English (spoken and written)
- Bachelor's degree required (in business, management, economics, international relation or engineering)</t>
  </si>
  <si>
    <t>UI Designer</t>
  </si>
  <si>
    <t>PT. Sumber Kreatif Indonesia</t>
  </si>
  <si>
    <t>https://www.linkedin.com/in/shella-meliyana-56891072/</t>
  </si>
  <si>
    <t>meliyanashella@gmail.com</t>
  </si>
  <si>
    <t>Noorman Artawicaksono, Admin PM</t>
  </si>
  <si>
    <t>Ikhsan Syaifudin, Graphic Designer</t>
  </si>
  <si>
    <t>Good team work, have good idea, nice person</t>
  </si>
  <si>
    <t>Investment Analsty Internship</t>
  </si>
  <si>
    <t>Luthfi Septiandy</t>
  </si>
  <si>
    <t>Mainly supporting Investment team with market research on due diligence
- Market and compeitor analysis
- Sourcing investment opportunities
- Meet with founder (virtually)</t>
  </si>
  <si>
    <t>Local Realestat Company</t>
  </si>
  <si>
    <t>https://www.linkedin.com/in/luthfi-septiandy-415096b4/</t>
  </si>
  <si>
    <t>- Fresh graduate with extensive internship experience in simlar/applicable fields (direct venture investing, investment institute, consulting, advisory, startup).
- Must have a keen interest into startup/tech/VC industry
- Must be a quick learner, ighly motivated, self-driven and demonstrates deep level of interest towards the tech space
- Must be fluent in English (spoken and written)
- Bachelor's degree required (in business, management, economics, international relation or engineering)</t>
  </si>
  <si>
    <t>luthficivileng@gmail.com</t>
  </si>
  <si>
    <t>Marketing, Finance, HR, People, Talent</t>
  </si>
  <si>
    <t>People in my Twitter Circles</t>
  </si>
  <si>
    <t>Nadira</t>
  </si>
  <si>
    <t>Telemarketing dan deskcall</t>
  </si>
  <si>
    <t>Fintech</t>
  </si>
  <si>
    <t>Nadiradirr</t>
  </si>
  <si>
    <t>Nadiradira811@gmail.com</t>
  </si>
  <si>
    <t>Iklan</t>
  </si>
  <si>
    <t>Kevin Richter</t>
  </si>
  <si>
    <t>Web Designer &amp; WordPress Developer</t>
  </si>
  <si>
    <t>Freelance</t>
  </si>
  <si>
    <t xml:space="preserve">The main objectives of this role :
- Work with Product Managers/Analysts to have a good understanding of user stories and the expected outcome
- Produce wireframes and prototypes (both web applications and mobile)
- Contribute to and maintain consistent UX design standards across the products
- Regularly review work with other UX / UI Designers to ensure designs (and direction) are aligned with each other and to collect feedback
- Clearly present various stages of interface design development to business owners, team members and other stakeholders </t>
  </si>
  <si>
    <t>https://www.linkedin.com/in/oceandiveloper/</t>
  </si>
  <si>
    <t>- 3-5 years as a user experience designer or similar UX-related role for software products
- An understanding of the principles, methodology and practices of visual design with a proven hands-on experience in a team working environment, i.e. product design / interaction design / interface design / UI pattern libraries
-Good understanding of UX - being able to have an opinion and question wire-frames etc
-Proficiency in Sketch, Photoshop, Illustrator, or other visual design and wire-framing tools
-Enjoys working as part of a team of designers and creative leadership.
-Ability to present work collaboratively as well as explaining rationales behind the design
-Up-to-date with the latest UI trends, techniques, and technologies
-Excellent attention to detail
-Creative and conceptual thinker</t>
  </si>
  <si>
    <t>BRANKAS</t>
  </si>
  <si>
    <t>Informationa Technology / Open Banking</t>
  </si>
  <si>
    <t>Remote (Hubs in Indonesia and Philippines)</t>
  </si>
  <si>
    <t>https://brank.as/about#careers</t>
  </si>
  <si>
    <t>kevin@oceandiveloper.com</t>
  </si>
  <si>
    <t>Marketing, Engineering, Design</t>
  </si>
  <si>
    <t>Facebook Share</t>
  </si>
  <si>
    <t>Shella Souisa</t>
  </si>
  <si>
    <t>Vendor Acquisition</t>
  </si>
  <si>
    <t>foodspot</t>
  </si>
  <si>
    <t>linkedin.com/shella-anjela</t>
  </si>
  <si>
    <t>shllanjela@gmail.com</t>
  </si>
  <si>
    <t>Send your CV to michelle@brank.as</t>
  </si>
  <si>
    <t>Bobby Nurian Tirta - Vendor Acquisition Supervisor</t>
  </si>
  <si>
    <t>She is a fast learner from the start. She's eager to learn and a self starter, and she always excel in her performance. She also is a fun person to be around</t>
  </si>
  <si>
    <t>Ivander Emlingga</t>
  </si>
  <si>
    <t>Marketing, Sales, Service</t>
  </si>
  <si>
    <t>Unsircle</t>
  </si>
  <si>
    <t>Senior Frontend Developer</t>
  </si>
  <si>
    <t>https://www.linkedin.com/in/ivander-emlingga/</t>
  </si>
  <si>
    <t>The main objectives of this role :
- Building new user-facing features with a modern tech stack using everything from REST APIs to gRPC endpoints 
- Assisting with optimising build pipelines and deployments for Kubernetes clusters
- Improving performance by looking in detail how we structure and consume data
- Adding analytics, monitoring, and alerts to our service so that we can better respond to operational incidents
- Open-sourcing any non-trivial innovations that come out of our work on the product
- Leading and redefining best-in-class software development processes so that we can build an opinionated product</t>
  </si>
  <si>
    <t>- BS in Computer Science or a related field
- Minimum 4 years work experience
- Strong knowledge / understanding of algorithms, software engineering, distributed systems, test driven development and continuous integration, web services, and frontend build pipelines
- Demonstrated experience working with frontend web application technologies and associated variants (HTML, CSS/SCSS, JavaScript, etc)
- Prior experience with TailwindCSS, TypeScript, Vue.js, and other modern frontend technologies is a plus
- Strong commitment / experience to building secure, efficient and resilient systems
- Familiar with cloud technologies, service offerings, and related APIs (AWS, GCP, etc) is a plus
- Previous experience working in banking, ecommerce, or finance is a plus
- Candidates must have excellent English communication skills and be independently driven to success</t>
  </si>
  <si>
    <t>emlingga@protonmail.com</t>
  </si>
  <si>
    <t>Cindy, Relationship Manager @ Alumak</t>
  </si>
  <si>
    <t>Eryc Iskandar, UI UX</t>
  </si>
  <si>
    <t xml:space="preserve">Marsya Fawzia </t>
  </si>
  <si>
    <t>Legal staff</t>
  </si>
  <si>
    <t xml:space="preserve">Bersatu Sukses Group </t>
  </si>
  <si>
    <t>https://www.linkedin.com/in/marsya-fawzia-14882864</t>
  </si>
  <si>
    <t>Marsya.fawzia@gmail.com</t>
  </si>
  <si>
    <t>Ana Nurjannah</t>
  </si>
  <si>
    <t>Mia</t>
  </si>
  <si>
    <t>Maria</t>
  </si>
  <si>
    <t>Full Stack Engineer</t>
  </si>
  <si>
    <t xml:space="preserve">Plato is Singapore's most popular web-based software - we help thousands of healthcare providers keep their clinics and practices running smoothly. As a Full-Stack developer at Plato, you'll be building features to help automate admin work for doctors and other healthcare workers. 
As a high-availability SaaS software for enterprise, the Plato team is looking for software developers with a proven track record building out solid and reliable features. You'll be working directly with an experienced CTO and proven team. 
Ideally we're looking for someone who's independent, motivated, and thoughtful about how they build out features. Plato will invest in helping you build your skill set and will work with you to ensure you're building out challenging and exciting projects work within the company. </t>
  </si>
  <si>
    <r>
      <rPr>
        <b/>
        <sz val="10"/>
        <rFont val="Arial"/>
      </rPr>
      <t>Key Skills:</t>
    </r>
    <r>
      <rPr>
        <sz val="10"/>
        <color rgb="FF000000"/>
        <rFont val="Arial"/>
      </rPr>
      <t xml:space="preserve"> We'd like you to have deep expertise in the following technologies. 
- Laravel/PHP
- Javascript (React and AngularJS) 
</t>
    </r>
    <r>
      <rPr>
        <b/>
        <sz val="10"/>
        <rFont val="Arial"/>
      </rPr>
      <t>Past Experience</t>
    </r>
    <r>
      <rPr>
        <sz val="10"/>
        <color rgb="FF000000"/>
        <rFont val="Arial"/>
      </rPr>
      <t xml:space="preserve">: 
- 3-4 years experience working as a software developer 
- Strong portfolio of projects 
- Track record working independently </t>
    </r>
  </si>
  <si>
    <t>Plato Medical</t>
  </si>
  <si>
    <t>Healthcare/ Technology</t>
  </si>
  <si>
    <t>triadi ibrahim nugraha</t>
  </si>
  <si>
    <t>business development</t>
  </si>
  <si>
    <t>wg group</t>
  </si>
  <si>
    <t>https://linkedin.com/in/triadi-ibrahim-226419115</t>
  </si>
  <si>
    <t>triadiibrahimn@gmail.com</t>
  </si>
  <si>
    <t>luffy septpiandy, business development at WG Group</t>
  </si>
  <si>
    <t>lutfy septiandy business development</t>
  </si>
  <si>
    <t>yes require visa for outside indonesia</t>
  </si>
  <si>
    <t>Arun Philips</t>
  </si>
  <si>
    <t>Innovation Manager</t>
  </si>
  <si>
    <t>Helptheworld.io</t>
  </si>
  <si>
    <t>Send your CV to careers@platomedical.com</t>
  </si>
  <si>
    <t>https://www.linkedin.com/in/arunphilips/</t>
  </si>
  <si>
    <t>arunalvinphilips@gmail.com</t>
  </si>
  <si>
    <t>BD and Partnerships, Product, Data and analytics</t>
  </si>
  <si>
    <t xml:space="preserve">Paul Ark </t>
  </si>
  <si>
    <t>Customer Success Representative</t>
  </si>
  <si>
    <t>Indian Passport Holder, Indian Resident Visa</t>
  </si>
  <si>
    <r>
      <rPr>
        <b/>
        <sz val="10"/>
        <rFont val="Arial"/>
      </rPr>
      <t>Job Description</t>
    </r>
    <r>
      <rPr>
        <sz val="10"/>
        <color rgb="FF000000"/>
        <rFont val="Arial"/>
      </rPr>
      <t xml:space="preserve">
Do you love teaching and learning systems in detail?  Do you love gadgets and desire to share your appreciation of technology with other people? 
An ideal customer success representative loves both teaching and creating materials that help staff and doctors learn how to best use Plato in the context of their clinic. We're looking for individuals who love people and technology, and who have worked in customer success, customer support, or account management previously.
As a Customer Success Representative at Plato, your day-to-day will involve creating training materials for customers, engaging them through various support channels, and working with them on 1:1 training sessions (both in person and virtually). You will be fully trained on Plato's software, and you will work with our experienced Customer Success team to ensure Plato customers have a successful experience.</t>
    </r>
  </si>
  <si>
    <r>
      <rPr>
        <b/>
        <sz val="10"/>
        <rFont val="Arial"/>
      </rPr>
      <t>Requirements</t>
    </r>
    <r>
      <rPr>
        <sz val="10"/>
        <color rgb="FF000000"/>
        <rFont val="Arial"/>
      </rPr>
      <t xml:space="preserve">
The following experience would be appreciated:
- Experience in SaaS: Have you worked in either customer success or sales for a different subscription software product before? If so, we would be happy to work with you. If you've done customer success work for non-SaaS products, that is also promising.
- Strong communication skills: Can you write well? Would people call you a great listener or a problem solver? Then you'll make Plato's customer base ecstatic.
- Love of technology: Do you enjoy using the latest gadgets? Have you mastered using any software program previously?
- Joy helping others: Do you enjoy helping others, understanding others, or spending time with different people?
- Experience in Customer Support, Customer Service, or Customer Success</t>
    </r>
  </si>
  <si>
    <t>Claudia Lim</t>
  </si>
  <si>
    <t>Investment Banking Summer Intern</t>
  </si>
  <si>
    <t>NatWest Markets</t>
  </si>
  <si>
    <t>http://linkedin.com/in/claudia-lim-sm</t>
  </si>
  <si>
    <t>claudia.limsm@gmail.com</t>
  </si>
  <si>
    <t>Sales, BD and Partnerships, Product, Finance, Ops, Data and analytics</t>
  </si>
  <si>
    <t>Singapore, United Kingdom</t>
  </si>
  <si>
    <t>e27</t>
  </si>
  <si>
    <t>Vidyut Singhania</t>
  </si>
  <si>
    <t>COO / Senior Data Scientist</t>
  </si>
  <si>
    <t>Babel Pte Ltd</t>
  </si>
  <si>
    <t>https://www.linkedin.com/in/vidyut-singhania-26966434</t>
  </si>
  <si>
    <t>Business Development Executive</t>
  </si>
  <si>
    <t>vidyut.singhania@u.nus.edu</t>
  </si>
  <si>
    <t>Sales, Product, Data and analytics, Exec team</t>
  </si>
  <si>
    <t xml:space="preserve">Gail Lau </t>
  </si>
  <si>
    <t>Mudit Singhania, CEO</t>
  </si>
  <si>
    <r>
      <rPr>
        <b/>
        <sz val="10"/>
        <rFont val="Arial"/>
      </rPr>
      <t>Job Description</t>
    </r>
    <r>
      <rPr>
        <sz val="10"/>
        <color rgb="FF000000"/>
        <rFont val="Arial"/>
      </rPr>
      <t xml:space="preserve">
At Plato, Business Development Executives work out of a section of the office called "Sparta" - they are Plato's frontline, teaching prospective customers how Plato can automate work at their clinic. We're looking for intelligent, competitive individuals with a background either selling software or selling a product that requires a high level of technical expertise. 
Plato will support you with great marketing products, high commissions, and a collaborative environment built to help you perform well.   Your day-to-day will be finding new prospects for Plato, closing them, and working with Plato's experienced Customer Success team to complete onboarding. Plato pays salary + generous commission. When we win, you win.    </t>
    </r>
  </si>
  <si>
    <t>Vidyut has been a rockstar of a leader at Babel who helped us lead, pitch &amp; deliver Data projects across a range of Industry &amp; clients. He's also a coffee, beer &amp; biking maniac: so you'll find him doing one of these, when he's not poring over multiple Computer screens with matrix-style codes flowing everywhere!</t>
  </si>
  <si>
    <r>
      <rPr>
        <b/>
        <sz val="10"/>
        <rFont val="Arial"/>
      </rPr>
      <t>Requirements</t>
    </r>
    <r>
      <rPr>
        <sz val="10"/>
        <color rgb="FF000000"/>
        <rFont val="Arial"/>
      </rPr>
      <t xml:space="preserve"> 
You are conscientious but competitive - you are aware that sales is a numbers game so your goal is to find customers that will benefit from Plato as opposed to hard selling. You are gritty and self-disciplined - when you set a goal for yourself, nothing stops you from achieving this goal. Finally, you love learning and learn quickly - Plato is a product that is constantly improving and we are looking to build a sales team that can quickly learn and pitch new elements of the product. 
- Hunger to succeed: Plato is a fast selling product - we're looking for people to help us keep Plato's momentum going.
- Experience selling medical or technical products: Selling takes skill - if you have a track record, we'd love for you to share that with us, particularly if your sales skills would be useful for Plato.
- Intelligence and attention to detail: Healthcare professionals are incredibly detail oriented about the products they use at their practice. You would need to be able to learn Plato quickly and think creatively about how to use Plato to solve each healthcare provider's IT challenges.
- Self discipline and the ability to set (and deliver on) ambitious goals is required. In your application, tell us about the most ambitious goal you have set for yourself, why you set the goal, and how you finally achieved it. 
- Curiousity and technical skills required. You do not need to be able to code, but you should be curious and well-informed about tech and/or healthtech. You should be super comfortable with computers and have invested time and energy in the tech or healthcare sectors. </t>
    </r>
  </si>
  <si>
    <t>Andriyanto Kurniawan</t>
  </si>
  <si>
    <t>Videographer and Video Editor</t>
  </si>
  <si>
    <t>www.linkedin.com/in/andriynt</t>
  </si>
  <si>
    <t>andree.a.kurniawan@gmail.com</t>
  </si>
  <si>
    <t>Ival my co-worker</t>
  </si>
  <si>
    <t>Nicolaus my co-worker</t>
  </si>
  <si>
    <t>Orestis Katsoulas</t>
  </si>
  <si>
    <t>Venture Development Manager</t>
  </si>
  <si>
    <t>https://www.linkedin.com/in/orestis-katsoulas-a2a94978/</t>
  </si>
  <si>
    <t>Full Stack Software Developer</t>
  </si>
  <si>
    <t>okatsoul@gmail.com</t>
  </si>
  <si>
    <t xml:space="preserve">A Singapore-based start-up, JobKred uses Big Data and AI to scan online labour market information to decode the relationships between jobs and skills and understand the latest developments in the world of work. With this information, JobKred provides both local and global businesses and enterprises with a workforce transformation platform. Using the digital platform, business leaders can identify future-ready skills and create dynamic competency frameworks to guide their employees’ personal development. They can also get a real-time pulse on the skills inventory of the organisation’s talent pool and empower their employees with AI recommendations to personalise their learning and receive career recommendations.
JobKred has played a role on the national stage as the intelligence behind Singapore’s national jobs portal, MyCareersFuture.sg. Internationally, JobKred has worked with UNESCO, World Bank and the Asian Development Bank to conduct labour market research projects using its technologies, with the results aiding the policy-making processes in various countries for higher education, vocational education and lifelong learning.
For this position, the core duties and responsibilities will be 
•        Implement new features, code refactoring and bug fixing
•        Communicate progress, anticipate bottlenecks, provide escalation management, identify, assess, track and mitigate issues/risks at multiple levels. Recognize discordant views and take part in constructive dialog to resolve them
•        Managing application lifecycle and ecosystem
</t>
  </si>
  <si>
    <t>Marketing, Sales, BD and Partnerships, Product, Ops, Data and analytics, Exec team</t>
  </si>
  <si>
    <t>Jiamin Han, Product Manager @Parcel Perform</t>
  </si>
  <si>
    <t xml:space="preserve">You will need to have / be ...
•        Bachelor’s Degree in Computer Science/Information Technology/Software
•        2-3 years in Full-stack development experience designing and building web applications and web services, with a stronger need for backend experience
•        Knowledge of internet security issues in software design and code
•        Able to write understandable, testable, secure code with an eye towards maintainability
•        Strong command in PHP, MySql, HTML5, CSS and JQuery is a must
•        Strong affinity towards PHP coding skills and willingness to develop Web Applications using Laravel
•        Experience or exposure in development of Large CMS, e-commerce website, payment integration, shipping integration or general API integration with third party services
•        Good understanding of JQuery, PHP, AngularJS, web-services, JSON
•        Experience in Python, Ruby, Go, C and Java preferred but by no means a must
•        Understanding of MVC design patterns for front-end technologies and understanding fundamental design principles behind a scalable application Integration of multiple data sources and databases
•        Good knowledge of Apache/Nginx, Composer, NodeJS, Yarn, Webpack or web package managers
•        Exposure to SEO, User Experience, Usability and Accessibility is a plus
•        Possess strong computer science fundamentals; data structures, algorithms, programming languages, distributed systems and information retrieval
</t>
  </si>
  <si>
    <t>Dana von der Heide (Founder and Chief Commercial Officer @Parcel Perform)</t>
  </si>
  <si>
    <t>JobKred Pte Ltd</t>
  </si>
  <si>
    <t>Having Orestis in the lead of our critical go-to-market initiatives was a true pleasure for not only us founders, but all cross-functional team leaders that he regularly interacted and consulted with. His extensive professional experience, fantastic project management skills as well as his proactiveness and positive problem-solving attitude were always met with focussed execution of all tasks at hand, while he performed above our expectations and frequently supported far beyond his original job scope.</t>
  </si>
  <si>
    <t>Edtech</t>
  </si>
  <si>
    <t>I require an Employment Pass (EP) to work in Singapore.</t>
  </si>
  <si>
    <t>https://www.linkedin.com/jobs/cap/view/1807860190/?pathWildcard=1807860190&amp;trk=mcm</t>
  </si>
  <si>
    <t>Grace Tarani Sridevi Lee</t>
  </si>
  <si>
    <t>Android</t>
  </si>
  <si>
    <t>https://www.linkedin.com/in/geewazowski/</t>
  </si>
  <si>
    <t>grace.tarani@gmail.com</t>
  </si>
  <si>
    <t>Erick, head of IT @ SweetEscape</t>
  </si>
  <si>
    <t>Fajar Maulana</t>
  </si>
  <si>
    <t>https://www.linkedin.com/in/fajarmaulanaipb/</t>
  </si>
  <si>
    <t>Send your resume to leyley@jobkred.com</t>
  </si>
  <si>
    <t>of.maulana@gmail.com</t>
  </si>
  <si>
    <t>Erick, Head of IT @ SweetEscape</t>
  </si>
  <si>
    <t>Minn Yang</t>
  </si>
  <si>
    <t>Head of Communications</t>
  </si>
  <si>
    <t>ZUZU Hospitality</t>
  </si>
  <si>
    <t>linkedin.com/in/yangminn</t>
  </si>
  <si>
    <t>We are seeking a strong software Product Manager to work with our dream team environment in order to deliver the best software solutions to our innovative and industry-leading products.
As a product manager, your job is to make sure the right things get done. At a high level, this means establishing a clear vision for what a product should be and what needs to be done to get there. On a day to day basis, this means handling all the different facets of a project and making sure they’re coordinated. And at the core, this means building a foundation of knowledge across user needs, technical constraints, and design goals so you can act as a bridge across all of them. 
You are seeking new challenges and an opportunity to further advance your skills and career solving business problems with technology.
You are naturally self-motivated, always comfortable to manage conflicting expectations, deliver cutting-edge software products under constant changes.
You are the perfect conduit between the leading software development team and real-world humans of stakeholders, customers, competitors and the macroeconomic. 
You have the unique skills of connecting dissimilar capabilities and make them more impactful than simply putting them together.
At the end of the day, it is your passion, drive and commitment that will ensure you can bring a concept to a functional and cutting-edge software product.
This role reports directly to the co-founder and Chief Product Officer and is based out of Singapore (our headquarters). Visa sponsorship is available if necessary.</t>
  </si>
  <si>
    <t>Responsibilities
·      Providing vision and direction to the Agile development team and stakeholders throughout the project and create requirements, user stories, wireframes, high-fi prototypes and acceptance criteria. 
·      Ensure that the team always has an adequate amount of prior prepared tasks to work on.
·      Plan and prioritize product backlog and development for the product.
·      Define the product vision, road-map and growth opportunities. 
·      Assess value, develop cases and prioritize stories, epics and themes to ensure work focuses on those with the maximum value that is aligned with product strategy.
·      Provide backlog management, iteration planning, and elaboration of the user stories.
·      Lead the planning product release plans and set an expectation for delivery of new functionalities.
·      Provide an active role in mitigating impediments impacting successful team completion of Release/Sprint Goals.
·      Research and analyze market, the users, and the roadmap for the product.
·      Follow our competitors and the industry. 
·      Keep abreast with Agile/Scrum best practices and new trends.
Requirements
·      Previous working experience as a Product Owner using the Scrum method.
·      Diploma or Degree in Information Technology, Computer Science, Engineering or similar relevant field.
·      In-depth knowledge of Agile process and principles.
·      Outstanding communication, presentation and leadership skills.
·      Excellent organizational and time management skills.
·      Sharp analytical and problem-solving skills.
·      Creative thinker with a vision.
·      Attention to details.</t>
  </si>
  <si>
    <t>Cialfo</t>
  </si>
  <si>
    <t>yangminn@gmail.com</t>
  </si>
  <si>
    <t>EduTech</t>
  </si>
  <si>
    <t>https://cialfo.bamboohr.com/jobs/view.php?id=61</t>
  </si>
  <si>
    <t>Girish Premchandran, CTO</t>
  </si>
  <si>
    <t>Minn is very clear headed and thorough in his approach and has a strong set of guiding principles. This helped ZUZU Hospitality leverage him as a sounding board as we messaged our core company values as well as our business values to our hotel partners, our stakeholders and the investor community at large. In addition to that Minn was very instrumental in tying together our teams across multiple countries, helping align their thoughts around the company values in order to facilitate a strong brand communication message as they interfaced with our hotel partners and recruits.</t>
  </si>
  <si>
    <t>Jerdinan Septian Frendy</t>
  </si>
  <si>
    <t xml:space="preserve">Photo Editor </t>
  </si>
  <si>
    <t>https://www.linkedin.com/in/jerdinan-frendy-64679b149</t>
  </si>
  <si>
    <t>jerdinansf@gmail.com</t>
  </si>
  <si>
    <t xml:space="preserve">Paulus Kusumo </t>
  </si>
  <si>
    <t>Stefani Karina (Photo Editor) @sweetescape</t>
  </si>
  <si>
    <t>Chrisviara Navilda (HR) @sweetescape</t>
  </si>
  <si>
    <t>Rahul Menon</t>
  </si>
  <si>
    <t>Operations Manager (DevOps)</t>
  </si>
  <si>
    <t>DigitalAPICraft</t>
  </si>
  <si>
    <t>https://www.linkedin.com/in/menonrahul/</t>
  </si>
  <si>
    <t>HR - jessie@cialfo.com.sg 
But do apply through the link provided</t>
  </si>
  <si>
    <t>rahul@rmenn.in</t>
  </si>
  <si>
    <t>Will require sponsorship</t>
  </si>
  <si>
    <t>Nurissa Arviana</t>
  </si>
  <si>
    <t>Lead of OTA Operations / Channel Service Team</t>
  </si>
  <si>
    <t>https://www.linkedin.com/in/erisarviana/</t>
  </si>
  <si>
    <t>Operations Director</t>
  </si>
  <si>
    <t>erisarviana92@gmail.com</t>
  </si>
  <si>
    <t>Kopi Kenangan is a Indo Start-up with ambitious growth plan in Asia.  Within 2 years we have grown to todate 300+ outlets across Indonesia.
- Lead daily operations of our Grab &amp; Go Coffee retail chain 
- Full P&amp;L responsibilities; overseeing day to day operations, SCM and day to day facilities/ equipment maintenance; this would include coaching team: drive operations SOP and ensure lean; as well as employee integrity throughout the full end to end operations management.
- Collaborate with Marketing and Business Development team to drive campaigns as well as any new business initiatives</t>
  </si>
  <si>
    <t>Dondi Hananto, Partner @ Patamar Capital</t>
  </si>
  <si>
    <t xml:space="preserve">- We need a passionate individual with prior experience leading and managing quick service restaurants (such as Starbucks, KPF, Burger King, McDonalds) or multi-chain F&amp;B outlets.  
- Must have prior experience managing and leading operations team which include day to day service employee such as servers, baristas, area managers and operations managers in order to be able to provide operational advice and coaching where necessary
- Experience in driving day to day operational excellence which include driving adheree  SOP, employee integrity, zero waste (lean) as well as continuous improvement of service standards  </t>
  </si>
  <si>
    <t>Aliza Sofi, Head of Business, Indonesia @ ZUZU Hospitality</t>
  </si>
  <si>
    <t>Kopi Kenangan</t>
  </si>
  <si>
    <t>F&amp;B</t>
  </si>
  <si>
    <t>Atep Muslim</t>
  </si>
  <si>
    <t>Animator and video producer</t>
  </si>
  <si>
    <t xml:space="preserve">https://kopikenangan.com/tentang-kami/
https://www.linkedin.com/company/kopi-kenangan
</t>
  </si>
  <si>
    <t>Kinniku Studio</t>
  </si>
  <si>
    <t>https://www.linkedin.com/in/atep/</t>
  </si>
  <si>
    <t>christina.yap@kopikenangan.com</t>
  </si>
  <si>
    <t>atepdell@gmail.com</t>
  </si>
  <si>
    <t>Hubud</t>
  </si>
  <si>
    <t>Ilona Selke</t>
  </si>
  <si>
    <t>My client, growth leader</t>
  </si>
  <si>
    <t>Business Intelligence</t>
  </si>
  <si>
    <t>Yandi Mochammad Rizky Santosa</t>
  </si>
  <si>
    <t>Sales Supervisor Fintech</t>
  </si>
  <si>
    <t>PT Raksasa Laju Lintang (Ralali.com)</t>
  </si>
  <si>
    <t>About This Role
We’re looking for a data-driven Growth Marketer to join our Marketing Team to help drive the understanding of the product, user acquisition &amp; expansion, and success of the selling Cialfo’s products. 
In this job, you extend yourself across traditional data analyst, email marketer, and business intelligence roles to create a comprehensive view of our users and their behavior.
You’ll play a critical role in managing Cialfo’s relationship with our clients, future and current. Your responsibilities include driving the strategy, development, enhancement, and execution of lifecycle marketing programs and campaigns across email and in-app notifications. You’ll be solving business problems, collaborating across teams, and passionate about having a huge impact on a growing team.
The ideal candidate will have a combination of email marketing experience, data analytics and project management skills.</t>
  </si>
  <si>
    <t>yandi.m.rizky@gmail.com</t>
  </si>
  <si>
    <t>What you will be doing 
• Collaborate across marketing, sales, product, and customer success teams to understand business questions that data can answer to drive insights
• Manage user-facing communication channels, focusing on automated marketing campaigns that reach users and prospective clients at the right time in their sales cycle
• Develop analytics solutions that bring analytics to life using design thinking concepts
• Design, build and automate key business metrics into one visualisation to tell a story
• Build processes and standards that build trust with data and provide consistent metrics across the organisation 
• Prepare and transform existing and incoming data into structured data for CRM and business analysis
• Develop and manage an attribution model that accounts for cross-channel, online and offline events
• Research and answer questions like “Which are the financially optimum events to sponsor, attend, or exhibit at?”, “What is the ROI of a sales or marketing campaign?”, and “What is the average time taken to close a deal, and which variables affect its velocity?” 
What you should have
• Meaningful experience with CRM strategy (Salesforce) and management, with a strong interest in how it works “under the hood” (i.e tracking, marketing tech stack, tooling) 
• Experience with building attribution models that account for offline events like trade shows or conferences
• Design thinking concepts or other visualisation concepts that drive story-telling
• Ability to learn technology quickly through instruction and self-training
• Eye for user flow and visual design
• Creative, methodical problem-solving skills with a focus on efficient execution while balancing big-picture thinking.</t>
  </si>
  <si>
    <t>Gilang, BD @ Booking.com</t>
  </si>
  <si>
    <t>Esther Chan</t>
  </si>
  <si>
    <t>https://cialfo.bamboohr.com/jobs/view.php?id=21</t>
  </si>
  <si>
    <t xml:space="preserve">marketing and events manager </t>
  </si>
  <si>
    <t>GPJ</t>
  </si>
  <si>
    <t>https://www.linkedin.com/in/esther-chan-73aa1b107/</t>
  </si>
  <si>
    <t>estherchanshul@gmail.com</t>
  </si>
  <si>
    <t>Marketing, Product, Ops, Data and analytics</t>
  </si>
  <si>
    <t>SG COVID-19 Creative/Cultural Professionals &amp; Freelancers Support Group</t>
  </si>
  <si>
    <t>Hendry</t>
  </si>
  <si>
    <t>Head of HR</t>
  </si>
  <si>
    <t>Investree</t>
  </si>
  <si>
    <t>https://www.linkedin.com/in/hendrytjiu/</t>
  </si>
  <si>
    <t>HR - jessie@cialfo.com.sg
but do apply via the link provided</t>
  </si>
  <si>
    <t>hendrytjiu85@gmail.com</t>
  </si>
  <si>
    <t>Adrian Gunadi, CEO Investree</t>
  </si>
  <si>
    <t>Kevin Mintaraga, CEO Bridestory</t>
  </si>
  <si>
    <t>I worked closely with Hendry at Bridestory. One of the most passionate person in HR and people development I have ever known, Hendry possesses a deep knowledge and understanding on people operation, recruitment and HR strategy.  He had consistently been able to lead his team in executing multiple projects, overcoming challenges, and delivering truly satisfying results for our company.  Without a doubt, I give Hendry my highest recommendation as an excellent brainstorming partner to level up the company HR department, people operation and strategy.</t>
  </si>
  <si>
    <t>Cucu Permana</t>
  </si>
  <si>
    <t>Head of Client Insight &amp; Data Analytics</t>
  </si>
  <si>
    <t>Prioriti Pte. Ltd</t>
  </si>
  <si>
    <t>https://www.linkedin.com/in/cucu-permana-646a0831/</t>
  </si>
  <si>
    <t>Marketing Communications Specialist</t>
  </si>
  <si>
    <t>You'll meticulously create campaigns, promote Cialfo, and increase Cialfo's brand awareness throughout the world. You'll know the program is successful and pay close attention to the details and tactics you execute. We want to see enthusiastic candidates with a talent for organization, fresh ideas, and a knack for marketing that impacts revenue.
This role is embedded within the Marketing team and works closely with the Sales teams to understand region-specific market priorities. Additionally, you'll be partnering with product and customer success teams to craft high value on-brand content for our customers, prospects and partners.
What you'll be doing:
Develop campaigns that effectively build brand awareness, new pipeline and influences existing deals across all segments of Cialfo's business
Project manage and execute events, including logistics, staff management, booth production, budget tracking, promotional campaigns, content/presentations, and sales enablement
Assist regional sales teams by increasing local/regional brand awareness and driving leads and MQLs in the region
Work with the marketing team to develop metrics to measure the success of all initiatives
Collaborate with regional leadership teams to develop and implement an integrated strategy that combines email marketing, direct mail marketing, and other field marketing channels as you see fit
You will think creatively about Cialfo's onsite presence and exceed attendees' expectations with a targeted and thoughtful approach that is unique to the audience and their needs
Design promotional materials and distribute in online and offline channels. Advertise about Cialfo and her products/services on various media.
Be part of various social media groups and professional platforms to discuss industry-related topics
Plan interviews and press conferences
Produce marketing copy for our website, and share regular newsletters with company updates
Monitor corporate website and social media pages and address clients’ queries
Network with industry experts and potential clients to drive brand awareness
Gather customer feedback to inform sales and product teams</t>
  </si>
  <si>
    <t>What skills you'll need:
You have meaningful experience as a Marketing Communications Specialist or similar
You have a keen eye for design and a knack for storytelling
You have strong organization skills, leaving no detail untouched
You have an understanding of the foundations of marketing and how events can play a critical part in moving the business forward
Your communication skills are out of this world; you are able to clearly and concisely craft messages to internal and external stakeholders
You have strong stakeholder management skills and are comfortable managing expectations and keeping teams on track
Your background is Marketing, Communications, Public Relations or relevant field</t>
  </si>
  <si>
    <t>https://cialfo.bamboohr.com/jobs/view.php?id=60</t>
  </si>
  <si>
    <t>cucoe.ace@gmail.com</t>
  </si>
  <si>
    <t>Marketing, BD and Partnerships, Data and analytics</t>
  </si>
  <si>
    <t>Ade Agus Putra</t>
  </si>
  <si>
    <t>Wandi Susanto</t>
  </si>
  <si>
    <t>Senior Data Scientist</t>
  </si>
  <si>
    <t>https://sg.linkedin.com/in/wandisusanto</t>
  </si>
  <si>
    <t>won3_d@yahoo.com</t>
  </si>
  <si>
    <t>Head AI@Traveloka</t>
  </si>
  <si>
    <t>Deb, Head of AI @ Traveloka</t>
  </si>
  <si>
    <t>Eric Lim</t>
  </si>
  <si>
    <t>Digital Marketing Manager</t>
  </si>
  <si>
    <t>Meridin Properties</t>
  </si>
  <si>
    <t>www.linkedin.com/ericlimkj</t>
  </si>
  <si>
    <t>Principal Engineer</t>
  </si>
  <si>
    <t>ericlimkj83@gmail.com</t>
  </si>
  <si>
    <t>Marketing, HR, People, Talent</t>
  </si>
  <si>
    <t>Ho Wei Cheng, General Manager</t>
  </si>
  <si>
    <t>Dewi Martha</t>
  </si>
  <si>
    <t>Marketing &amp; Design</t>
  </si>
  <si>
    <t>TYSM Indonesia</t>
  </si>
  <si>
    <t>https://www.linkedin.com/in/marthade/</t>
  </si>
  <si>
    <r>
      <t xml:space="preserve">We are looking for a Principal Engineer for our engineering team. As a Principal Engineer, you would play a pivotal role in </t>
    </r>
    <r>
      <rPr>
        <b/>
        <sz val="10"/>
        <rFont val="Arial"/>
      </rPr>
      <t>defining the Engineering strategy</t>
    </r>
    <r>
      <rPr>
        <sz val="10"/>
        <color rgb="FF000000"/>
        <rFont val="Arial"/>
      </rPr>
      <t xml:space="preserve"> and leveling up the SDLC practices in the company. You will take on key engineering initiatives </t>
    </r>
    <r>
      <rPr>
        <b/>
        <sz val="10"/>
        <rFont val="Arial"/>
      </rPr>
      <t>drive step changes in the architecture</t>
    </r>
    <r>
      <rPr>
        <sz val="10"/>
        <color rgb="FF000000"/>
        <rFont val="Arial"/>
      </rPr>
      <t xml:space="preserve">. In a fast-changing industry, we outgrow our systems periodically, you will be responsible for making those trade-off decisions.
- </t>
    </r>
    <r>
      <rPr>
        <b/>
        <sz val="10"/>
        <rFont val="Arial"/>
      </rPr>
      <t xml:space="preserve">Design </t>
    </r>
    <r>
      <rPr>
        <sz val="10"/>
        <color rgb="FF000000"/>
        <rFont val="Arial"/>
      </rPr>
      <t xml:space="preserve">resilient, scalable, secure </t>
    </r>
    <r>
      <rPr>
        <b/>
        <sz val="10"/>
        <rFont val="Arial"/>
      </rPr>
      <t>architectures</t>
    </r>
    <r>
      <rPr>
        <sz val="10"/>
        <color rgb="FF000000"/>
        <rFont val="Arial"/>
      </rPr>
      <t xml:space="preserve">.
- Drive </t>
    </r>
    <r>
      <rPr>
        <b/>
        <sz val="10"/>
        <rFont val="Arial"/>
      </rPr>
      <t>Testing strategy and training</t>
    </r>
    <r>
      <rPr>
        <sz val="10"/>
        <color rgb="FF000000"/>
        <rFont val="Arial"/>
      </rPr>
      <t xml:space="preserve"> across the Engineering teams.
- Train engineers to achieve a high level of technical productivity, reliability, and simplicity.
- Contribute to the </t>
    </r>
    <r>
      <rPr>
        <b/>
        <sz val="10"/>
        <rFont val="Arial"/>
      </rPr>
      <t>long-term technical vision</t>
    </r>
    <r>
      <rPr>
        <sz val="10"/>
        <color rgb="FF000000"/>
        <rFont val="Arial"/>
      </rPr>
      <t xml:space="preserve">.
- Initiate, lead and contribute to </t>
    </r>
    <r>
      <rPr>
        <b/>
        <sz val="10"/>
        <rFont val="Arial"/>
      </rPr>
      <t>engineering-wide key initiatives</t>
    </r>
  </si>
  <si>
    <t>A breadth of expertise or unique knowledge to improve systems and practices.
Experience in creating and executing on detailed roadmaps for adopting new approaches.
Strong technical knowledge to guide engineers regarding architecture and product decisions
The ability to thrive on a high level of autonomy and responsibility.
The ability to lead by example, by setting the right context, and by helping teammates do their best work.
Deep understanding of nodejs and golang is a great plus</t>
  </si>
  <si>
    <t>Banking, Fintech</t>
  </si>
  <si>
    <t>https://fsmk.bamboohr.com/jobs/view.php?id=154</t>
  </si>
  <si>
    <t>dewimartha89@gmail.com</t>
  </si>
  <si>
    <t>Dendro -- Sales Manager @PT.Buana Penta Prima</t>
  </si>
  <si>
    <t>Fumiya Kugo --- Business Development at Mitsubishi Motor Japan</t>
  </si>
  <si>
    <t>He is mentor and someone I look up to, He has strong leadership and great interpersonal skills. He has excellent knowledge at how to make business strategy for long term and catch growth opportunity in order to achieve monthly sales target. He has great personality and knows best how to break the ice.</t>
  </si>
  <si>
    <t>Citizen in Indonesia</t>
  </si>
  <si>
    <t xml:space="preserve">Reyhan Kantaatmadja </t>
  </si>
  <si>
    <t xml:space="preserve">Client Executive </t>
  </si>
  <si>
    <t>PT EKRUT TEKNOLOGI PASIFIK</t>
  </si>
  <si>
    <t>https://www.linkedin.com/in/reyhan-kantaatmadja-75a262152/</t>
  </si>
  <si>
    <t>varianreyhan@gmail.com</t>
  </si>
  <si>
    <t>Adini Kusuma Rulita, Senior Client Executive @ PT EKRUT TEKNOLOGI PASIFIK</t>
  </si>
  <si>
    <t>Feel free to contact me! Email is jason.low@fundingsocieties.com, whatsapp is +6598530409</t>
  </si>
  <si>
    <t xml:space="preserve">Adini Kusuma Rulita, Senior Client Executive </t>
  </si>
  <si>
    <t>Adini has inspired me to be a better employee. I have learned so much from her through how to sell the product to achieving our monthly target sales.</t>
  </si>
  <si>
    <t>Indonesian ( So no visa requirement in Indonesia)</t>
  </si>
  <si>
    <t>Anggara Bayu Pratama</t>
  </si>
  <si>
    <t>Finance Staff</t>
  </si>
  <si>
    <t>PT. Sandabi Indah Lestari</t>
  </si>
  <si>
    <t>https://www.linkedin.com/in/anggara-pratama-06476844</t>
  </si>
  <si>
    <t>Lead Devops Engineer</t>
  </si>
  <si>
    <t>anggara.pratama83@gmail.com</t>
  </si>
  <si>
    <t>Bima Mandala, GM @ PT. Sandabi Indah Lestari</t>
  </si>
  <si>
    <r>
      <t xml:space="preserve">We are looking for DevOps Manager with experience </t>
    </r>
    <r>
      <rPr>
        <b/>
        <sz val="10"/>
        <rFont val="Arial"/>
      </rPr>
      <t>building and scaling services in a cloud environment</t>
    </r>
    <r>
      <rPr>
        <sz val="10"/>
        <color rgb="FF000000"/>
        <rFont val="Arial"/>
      </rPr>
      <t>. As an engineering manager you would help recruit and develop engineers and collaborate with other managers to plan and execute key engineering initiatives. As we grow, we are evolving our processes and policies to keep our engineering team productive and you will play a key role in this.
- Develop engineers on the team, helping them advance in their careers
- Empower the devops team to achieve a high level of technical productivity, reliability and simplicity
- Initiate, lead and contribute to engineering-wide key initiatives
- Lead efforts to build and maintain an AWS cloud infrastructure architecture aligning security, compliance, performance and resilience with cost.
- Build and maintain highly available production systems.
- Implement and improve proactive monitoring and alerting.
- Work on infrastructure resource and capacity planning and cost management.
- Build, improve and own the CI pipeline.</t>
    </r>
  </si>
  <si>
    <t>Angga May Happy, RM &amp; PT. Bintang Shafwan</t>
  </si>
  <si>
    <t>- Have experience in configuration management such as Ansible, Chef, Puppet, or similar.
- Have experience managing production infrastructure with Terraform, CloudFormation, etc.
- Have strong Linux system administration background
- Have strong knowledge / experience in AWS 
- Have experience with scripting languages like python, and shell
- Have strong interest in designing, analysing and troubleshooting distributed systems</t>
  </si>
  <si>
    <t xml:space="preserve">Angga is one of my favorite co worker because he has a good sense of selling, know how to get people attention, and overcome the problem. </t>
  </si>
  <si>
    <t>Michelle Francisca Lee</t>
  </si>
  <si>
    <t>Production Design Ops</t>
  </si>
  <si>
    <t>https://fsmk.bamboohr.com/jobs/view.php?id=68</t>
  </si>
  <si>
    <t>https://www.linkedin.com/in/michelle-francisca-lee/</t>
  </si>
  <si>
    <t>mfranclee@gmail.com</t>
  </si>
  <si>
    <t>Marketing, Ops, Design</t>
  </si>
  <si>
    <t xml:space="preserve">Sandi Afui, Multimedia Designer. Narendra Caraka, Multimedia Designer. Kiki Wulanjari, Lead Production Design Team. </t>
  </si>
  <si>
    <t>Dona Wijaya</t>
  </si>
  <si>
    <t>Managing Director</t>
  </si>
  <si>
    <t>Bareksa Prioritas</t>
  </si>
  <si>
    <t>https://www.linkedin.com/in/dona-wijaya-470926ab</t>
  </si>
  <si>
    <t>im.donawijaya@gmail.com</t>
  </si>
  <si>
    <t>Abraham Ara , Head of Wealth at Private Banking CIMB Bank</t>
  </si>
  <si>
    <t>Marcus Tioh</t>
  </si>
  <si>
    <t>CEO &amp; Founder</t>
  </si>
  <si>
    <t xml:space="preserve">Jobworks </t>
  </si>
  <si>
    <t>https://www.linkedin.com/in/marcus-tioh-3a6b51a/</t>
  </si>
  <si>
    <t>Engineering Manager, Security</t>
  </si>
  <si>
    <t>We are looking for an Engineering manager for the backend engineering team. As an engineering manager you would help recruit and develop engineers and collaborate with other managers to plan and execute key engineering initiatives. We are constantly evolving our processes and policies to keep our engineering team productive and you will play a key role in this. 
- Recruit great engineers, in collaboration with our recruiting team
- Develop engineers on the team, helping them advance in their careers
- Empower the engineering team to achieve a high level of technical productivity, reliability and simplicity
- Collaborate with other managers and the product team to ensure timely delivery with correctness, security, observability and resilience  
- Initiate, lead and contribute to engineering-wide key initiatives</t>
  </si>
  <si>
    <t>- A track record of leading high performance and high impact engineering teams
- Strong technical knowledge to guide engineers regarding architecture and product decisions
- The ability to thrive on a high level of autonomy and responsibility
- The desire to build a supportive, challenging and fun work environment 
- Strong communicator in person and persuasive in writing
- An excitement to help engineers develop new skills and advance in their careers
- The ability to lead by example, by setting the right context, and by helping teammates do their best work</t>
  </si>
  <si>
    <t>https://fsmk.bamboohr.com/jobs/view.php?id=78</t>
  </si>
  <si>
    <t>marcus@7121980@gmail.com</t>
  </si>
  <si>
    <t>Lau Shi Ying @ NEXEA Angels, Partner</t>
  </si>
  <si>
    <t>Audy Choo, Sales Manager of Kelly Services Penang</t>
  </si>
  <si>
    <t>Being under Marcus's wing of leadership taught me a lot. He has always been the person who will care for his team member at all time (In or after work hour). He is a people person which make him a very comfortable person to approach on any matter. He has guided me well enough on the selling skills, management and leadership. Till today I still value the great working moment we had together</t>
  </si>
  <si>
    <t>Charles Less</t>
  </si>
  <si>
    <t>Head of Sales</t>
  </si>
  <si>
    <t>https://www.linkedin.com/mwlite/in/charlesaless</t>
  </si>
  <si>
    <t>clessinny@gmail.com</t>
  </si>
  <si>
    <t>Friend</t>
  </si>
  <si>
    <t>Singpare PR</t>
  </si>
  <si>
    <t>Junjie Li</t>
  </si>
  <si>
    <t xml:space="preserve">Client Manager </t>
  </si>
  <si>
    <t>Challenger Inc.</t>
  </si>
  <si>
    <t>www.linkedin.com/junjie85</t>
  </si>
  <si>
    <t>Security Engineers (Multiple roles)</t>
  </si>
  <si>
    <t>We are building our infosecurity engineering team and have various roles including DevSecOps, Incident Response, Security Software Development and IAM</t>
  </si>
  <si>
    <t>Please refer to the JD provided in the link to the right</t>
  </si>
  <si>
    <t>lee_jj85@hotmail.com</t>
  </si>
  <si>
    <r>
      <rPr>
        <b/>
        <sz val="10"/>
        <rFont val="Arial"/>
      </rPr>
      <t>Incident response:</t>
    </r>
    <r>
      <rPr>
        <sz val="10"/>
        <color rgb="FF000000"/>
        <rFont val="Arial"/>
      </rPr>
      <t xml:space="preserve"> https://fsmk.bamboohr.com/jobs/view.php?id=185
</t>
    </r>
    <r>
      <rPr>
        <b/>
        <sz val="10"/>
        <rFont val="Arial"/>
      </rPr>
      <t>Devsecops:</t>
    </r>
    <r>
      <rPr>
        <sz val="10"/>
        <color rgb="FF000000"/>
        <rFont val="Arial"/>
      </rPr>
      <t xml:space="preserve"> https://fsmk.bamboohr.com/jobs/view.php?id=187
</t>
    </r>
    <r>
      <rPr>
        <b/>
        <sz val="10"/>
        <rFont val="Arial"/>
      </rPr>
      <t>Software Dev:</t>
    </r>
    <r>
      <rPr>
        <sz val="10"/>
        <color rgb="FF000000"/>
        <rFont val="Arial"/>
      </rPr>
      <t xml:space="preserve"> https://fsmk.bamboohr.com/jobs/view.php?id=183</t>
    </r>
  </si>
  <si>
    <t>Saw this on Linkedin</t>
  </si>
  <si>
    <t>Ryan Baetsen, Client Manager</t>
  </si>
  <si>
    <t>There was no single individual that I have worked with in my professional career who is more dependable than Junjie. Given the nature of our work, client requests would often arrive on my desk that had exceptionally short turnaround times and my first go-to would always be Junjie.</t>
  </si>
  <si>
    <t>Not required - Singapore citizen</t>
  </si>
  <si>
    <t>Ngiap Seng Koh</t>
  </si>
  <si>
    <t>Revenue Management Analyst</t>
  </si>
  <si>
    <t>ZEN Rooms</t>
  </si>
  <si>
    <t>https://www.linkedin.com/in/ngiapp/</t>
  </si>
  <si>
    <t>nkoh005@e.ntu.edu.sg</t>
  </si>
  <si>
    <t>Jorge Manas, Head of Revenue Management</t>
  </si>
  <si>
    <t>Independent learner who is able to meet deadlines consistently.</t>
  </si>
  <si>
    <t>Credit Manager, Thailand</t>
  </si>
  <si>
    <t>Linus Chen</t>
  </si>
  <si>
    <t>Moon Rabbit</t>
  </si>
  <si>
    <t>- Evaluate credit applications – using our cutting-edge tech platform, you will be analysing data from bank statements, credit reference agencies, application forms and other third party sources to arrive at fast, fair, and accurate decisions.
- Adapt in-house credit scoring algorithm for the Thai market. 
- Conduct thorough due diligence to ensure credit risk falls in line with internal policy.
- Understand and accurately capture the specific revenue and risk drivers for SMEs.
- Be responsible for making lending decisions independently.
- Be actively involved in improving the decision-making framework, through developments to our systems and processes.
- Communicate effectively with our Sales teams to ensure customer needs are met at all times. 
- Work closely with the Data team to improve scoring systems to enable us to make better, faster and fairer decisions.
- Help design and implement operational processes based on credit risk policies. 
- In conjunction with sales and finance executives and the company’s legal counsel, determine and update credit policies and procedures
- Conduct periodic credit reviews
- Prepare regular updates on the overall portfolio and deliver the results and plans for improvement to the Risk Committee
- Perform continuous monitoring of borrowers’ credit worthiness to ensure timely loan repayment 
- Practice responsible lending and credit activities based on policy and procedures in daily credit-related approvals and review</t>
  </si>
  <si>
    <t>https://www.linkedin.com/in/linus-chen-07948227/</t>
  </si>
  <si>
    <t>- Experience in commercial loan underwriting, credit sanctioning or credit analysis, preferably within the SME sector or alternative lending.
- Strong business acumen to quickly identify the key drivers influencing credit risk.
- Experience managing a team or the interest to do so in the future
- An analytical mindset with a practical approach to problem solving.
- A confident and enthusiastic attitude that works well in a dynamic and fast paced environment.
- Excellent communication skills. 
- The ability to come up with innovative and scalable solutions to day-to-day problems and suggest changes to processes to improve our efficiency.
- Working experience of the Thai SME market, trade and supply chain financing products and unsecured finance products will be an added advantage</t>
  </si>
  <si>
    <t>https://fsmk.bamboohr.com/jobs/view.php?id=194</t>
  </si>
  <si>
    <t>thelinushabit@gmail.com</t>
  </si>
  <si>
    <t>April Wu, Associate Director, Private Markets</t>
  </si>
  <si>
    <t>Stephen Kyriakou</t>
  </si>
  <si>
    <t>Morris Ardhito</t>
  </si>
  <si>
    <t>Associate Producer</t>
  </si>
  <si>
    <t>HJ Production Asia</t>
  </si>
  <si>
    <t>morris.ardhito@gmail.com</t>
  </si>
  <si>
    <t>Ops, Exec team, HR, People, Talent, Design</t>
  </si>
  <si>
    <t>Trijuariyogo, Online manager, PT Pilar Niaga Makmur</t>
  </si>
  <si>
    <t>Gladys Ng</t>
  </si>
  <si>
    <t>SC Ventures</t>
  </si>
  <si>
    <t>https://www.linkedin.com/in/gladys-ng/</t>
  </si>
  <si>
    <t>gladysngc@gmail.com</t>
  </si>
  <si>
    <t>Head of Brand Marketing</t>
  </si>
  <si>
    <t>Olivia Soebijantoro</t>
  </si>
  <si>
    <t>We are seeking a passionate, curious and brand leader preferably from well known FMCG sectors to develop and drive Kopi Kenangan's marketing strategy; lead the development of local brand campaigns and drive initiaves to build an influetial brand that sits at the intersection of technology, community and opportunity.
Reporting to the CMO, this role will be responsible for:
-Brand Campaign Managment which include brand plans, briefing of agencies, channle of comms, development of tool kits (core strategy &amp; frameworks), establishing measurements and tracking plans; ensuring successful local campaign development / execution.
-Integrated Planning: Development of marketing plans for campaign development; management of marketing calendars; engagement with marketing planning and operations on budget, reporting and governance.
- Cross-Business Initiatives: Provide brand marketing leadership and engagement for strategic initiatives in coordination with product marketing, bauiness development and operations.
-Co-marketing Integration: Work with internal team to develop and deploy integrated marekting ideas &amp; platforms with key 3rd party to drive acquisition of Kopi Kenangan brand.</t>
  </si>
  <si>
    <t>Business Process Re-Engineering Sr. Associate</t>
  </si>
  <si>
    <t>Bizzy</t>
  </si>
  <si>
    <t>https://www.linkedin.com/in/oliviasoebijantoro/</t>
  </si>
  <si>
    <t>- We are looking for brand &amp; marketing professionals preferably from well-known FMCG companies with a focus on food.
- Must have at least 5 years of proven cross-functional marketing program leadership experience
- Experienced in leading the development and execution of global strategic marketing plans, and integrated marketing campaigns, application of research/insights, brand strategy, equity positioning, channel &amp; communications planning; and campaign measurement / reporting</t>
  </si>
  <si>
    <t>olivsoebijantoro@gmail.com</t>
  </si>
  <si>
    <t>Ryan @ Cermati</t>
  </si>
  <si>
    <t>William Chan</t>
  </si>
  <si>
    <t>APAC Sales Director</t>
  </si>
  <si>
    <t>https://www.linkedin.com/in/willcchan/</t>
  </si>
  <si>
    <t>will.c.chan@googlemail.com</t>
  </si>
  <si>
    <t>Burcu is one of the smartest social ad operations specialists I know (and I've been in this field 6 years). A genuine person and very focused.</t>
  </si>
  <si>
    <t>Nariswari Yudianti</t>
  </si>
  <si>
    <t xml:space="preserve">Corporate Branding &amp; Public Relations </t>
  </si>
  <si>
    <t>Nodeflux</t>
  </si>
  <si>
    <t>https://www.linkedin.com/in/nariswariyudianti/</t>
  </si>
  <si>
    <t>Business Strategy Snr Associate</t>
  </si>
  <si>
    <t>nariswaridy@gmail.com</t>
  </si>
  <si>
    <t>Marketing, HR, People, Talent, Design</t>
  </si>
  <si>
    <t>some friends forward this via Twitter and WhatsApp</t>
  </si>
  <si>
    <t>Ary Mozta, VP of Storytelling and Communication; Satrio Tjai, Executive Advisor to the Chairman and CEO at PT Rajawali Corpora</t>
  </si>
  <si>
    <t>They'd say "I am reliable and always comes up with back up plans and unexpected ideas, yet stick with the ethics."</t>
  </si>
  <si>
    <t xml:space="preserve">Eligible for 30 Days Visit without Visa (Indonesian Passport) </t>
  </si>
  <si>
    <t>If you have at least 2 years of business process, strategy and/ or analytics experience (in Operational Role, SCM, HR, Finance, and/ or Marketing) in a consulting firm or within an MNC, we would love to hear from you:
 - Being part of founders’ office, you will be part of team that will influence and steer transformation of business processes across the organization;
 - As a transformation agent, you will be working closely with internal clients to track and drive business performance – starting from budgeting (OKR), target monitoring, conduct analyses and provide regular update/ recommendations for BODs as well as insights to relevant stakeholders;
 - As future business leader, you will not only have the taste of developing recommendations, but also developing and executing initiatives to drive business performance;
 - Support Founder’s with various investor relations activities including creating/ amending/ reviewing investment reports and presentations, financial reports, legal documents, and due diligence materials.</t>
  </si>
  <si>
    <t>Htun Linn Aung (Daniel)</t>
  </si>
  <si>
    <t>Art Director</t>
  </si>
  <si>
    <t>Iris Worldwide</t>
  </si>
  <si>
    <t>https://www.linkedin.com/in/danielaungart/</t>
  </si>
  <si>
    <t>-At least 2 years' of relevant work experience in MNC, big 4 and/ or management consulting with exposure to Operational Role, SCM, HR, Finance and/or Marketing;
 -Degree (Bachelor) in Engineering/ Mathematics/ Statistics/ Finance/ Business or other quantitative disciplines;
 - Hands-on experience in modeling (Financial and Operational) and PowerPoint.</t>
  </si>
  <si>
    <t>heydanielaung@gmail.com</t>
  </si>
  <si>
    <t>Myanmar</t>
  </si>
  <si>
    <t>Senior Copywriter</t>
  </si>
  <si>
    <t>Diego Barboza (Creative Group Head), Shu Yau Cheng (Deputy Creative Director)</t>
  </si>
  <si>
    <t>https://kopikenangan.com/tentang-kami/
 https://www.linkedin.com/company/kopi-kenangan</t>
  </si>
  <si>
    <t>S-pass</t>
  </si>
  <si>
    <t>Rakesh Patni</t>
  </si>
  <si>
    <t>RISE</t>
  </si>
  <si>
    <t>https://www.linkedin.com/in/rakeshpatni/</t>
  </si>
  <si>
    <t>Strategy</t>
  </si>
  <si>
    <t>rakeshpatni79@gmail.com</t>
  </si>
  <si>
    <t>Ilya Kulyatin, CEO, Nimble</t>
  </si>
  <si>
    <t>Fikrya Dzikrillya Queenzharean</t>
  </si>
  <si>
    <t>Event Executive</t>
  </si>
  <si>
    <t>MAM EO Jakarta</t>
  </si>
  <si>
    <t>https://www.linkedin.com/in/fikrya-dzikrillya-queenzharean-a03833121</t>
  </si>
  <si>
    <t>SCM Head</t>
  </si>
  <si>
    <t>- Lead the strategy and execution full supply chain from purchasing, planning, logistics, and control of materials. Develop contract policy, general terms and conditions. Conduct compliance audit against contract policy.
- Develop and maintain IT system to improve procurement business process. 
- Create and update standardized supply chain business process to drive best practice.
- Responsible for the company’s demand forecasting and budgeting by working with operations team to develop sales assumptions (new brand/ product lauches/ promotional campaigns) to be proactive in demand forecasting, so to make decision on procurement as well as stock alloactions. 
- Plan procurement performance targets and initiatives.
- Lead &amp; drive continuous improvement for supply chain in lead time, inventory requirements, order fulfillment costs and overall service levels.</t>
  </si>
  <si>
    <t>zhareanren@gmail.com</t>
  </si>
  <si>
    <t>- At lesat 5 years experience in end to end supply chain management preferably in a quick service restaurant / F&amp;B sector.
 - Knowledge of market analysis and metrics
 - Hands on experience in setting up process, creating reporting and managing budgets
 - Excellent integrity and is process oriented.
 - Someone who can roll up his/her sleeve and set things up from scratch and then drive the implementation; ensuring best practice and standards are met
 - Lean exposure will be advantageous</t>
  </si>
  <si>
    <t>Maria Frangconna, PR @ Firmatoya Consultant</t>
  </si>
  <si>
    <t>Maria Frangconna</t>
  </si>
  <si>
    <t>As a communication bachelor, she has a keen interest in communication and willing to learn more about it. She has proven in analytical skill as well as communicating with people. In my experience, she has a proven herself in writing as well for social media content plan in Madrm Indonesia, and work passionately as an Event Executive, HR and Marcomm in the Event organizer, MAM EO. She's also awesome to have in the office and makes people smile with her attitude.</t>
  </si>
  <si>
    <t>Aisha Rachmani Nurfitri</t>
  </si>
  <si>
    <t>PT Mata Laba Laba (custom.com.hk/dokter.my)</t>
  </si>
  <si>
    <t>https://www.linkedin.com/in/aisharachmani/</t>
  </si>
  <si>
    <t>aisharachmani@ymail.com</t>
  </si>
  <si>
    <t>BD and Partnerships, Product, Data and analytics, Design</t>
  </si>
  <si>
    <t>Product Manager, User</t>
  </si>
  <si>
    <t>Lee Yong En, Klook Travel Technology Limited, Corporate Initiatives and Product Strategy Manager</t>
  </si>
  <si>
    <t>Kopi Kenangan is deeply committed to delivering high-performing applications that fulfil the caffeine needs of young urban professionals with delicious, high-quality beverages
 - Plan, design and optimize the Kopi Kenangan products and constantly release new products or update existing features;
 - Work closely with the marketing, operation and finance teams to identify user’s needs, analyze the market, and understand the pain points of users;
 - Participate in the design, development, testing, data operation and other aspects of the technical teams to ensure that the products are released on time and in high quality;
 - Conduct user needs analysis and course satisfaction survey regularly; follow up the development of the industry and competitors;
 - Cooperate with the marketing, operation and other teams to assist in the implementation of internal and external promotion strategies and achieve KPI.
 - Define the product design and specifications. Maintain overall quality and execute
 - Define key metrics to track and optimize sales, customer engagement and operations when product going to live</t>
  </si>
  <si>
    <t>- Degree in Engineering or IT with experience in product management especially in E-Commerce sector
 - Excellent ability in product design, familiarity in the Internet product development and the ability to work independently to manage the whole life cycle of the product (including demand analysis, functional design, process development, interface design, project promotion, post-operation, etc.);
 - Excellent project management ability, precise control of key nodes of product loop and the ability to solve problem across different teams;
 - Sensitive to industry changes, clear goal orientation, strong logic analysis skills, independent thinking skills and insight;
 - Strong understanding of user acquisition in Ecommerce platforms will be advantageous</t>
  </si>
  <si>
    <t>April Wagner</t>
  </si>
  <si>
    <t>Assistant Private Banker</t>
  </si>
  <si>
    <t xml:space="preserve">Julius Baer &amp; Co Ltd Singapore </t>
  </si>
  <si>
    <t>www.linkedin.com/in/ap-wagner</t>
  </si>
  <si>
    <t>aprilang81@yahoo.com</t>
  </si>
  <si>
    <t>Sales, Finance, Data and analytics</t>
  </si>
  <si>
    <t>Silvia Tan (Assistant Private Banker)</t>
  </si>
  <si>
    <t>Senior Product Manager (SPM)</t>
  </si>
  <si>
    <t xml:space="preserve">1.  Leading the ideation, research, and analysis of the competitive landscape, product metrics, and customers &amp; technologies trends to generate new ideas to grow market share, improve customer experience and drive growth and conversion.
2. Collaborates closely with the business development, partnership, product development team, engineering, and cross-functional stakeholders internally and externally to execute prioritized roadmap and ensure on-time delivery with the highest quality and performance
</t>
  </si>
  <si>
    <t>Steven Yong</t>
  </si>
  <si>
    <t>Social Media Strategist</t>
  </si>
  <si>
    <t>WhatAdver Media</t>
  </si>
  <si>
    <t>1. Having 3 - 5 years working experience in Business Growth or Product management or Management Consulting.
2. Proven ability to run metrics and data-driven, develop product strategies, effectively communicate recommendations to executive management and easily transition from high-level strategic thinking to creative and detailed execution
3. Passionate about your customers and always bring questions back to what will serve them best
4. Excellent analytical and problem-solving skills and strong intuitions of user behaviors
5. A strong drive to make things happen! Can-do attitude!
6. Comfortable working in a face-paced environment and agile software development process
7. Good leadership, interpersonal and communication skill</t>
  </si>
  <si>
    <t>https://www.linkedin.com/in/stevenywh/</t>
  </si>
  <si>
    <t>mamikos.com</t>
  </si>
  <si>
    <t>stevenywh@me.com</t>
  </si>
  <si>
    <t>Marketing, Data and analytics, Design</t>
  </si>
  <si>
    <t>Doug Crets, Facebook.</t>
  </si>
  <si>
    <t>Director of Solution Consulting</t>
  </si>
  <si>
    <t>https://www.linkedin.com/in/terryngoldman/</t>
  </si>
  <si>
    <t>Prop Tech</t>
  </si>
  <si>
    <t>Indonesia (Jakarta/Yogyakarta)</t>
  </si>
  <si>
    <t>https://www.linkedin.com/jobs/view/1779385449</t>
  </si>
  <si>
    <t>tngoldman@gmail.com</t>
  </si>
  <si>
    <t>Sales, Engineering, Product, Data and analytics, Design</t>
  </si>
  <si>
    <t>Ronen Lamdan, MD Asia @ WorkFusion</t>
  </si>
  <si>
    <t>Ronen Lamdan and Jason Lee</t>
  </si>
  <si>
    <t>Terry has the ability to focus on long term goals while ensuring that milestones along the way are achieved. He has deep technical skills that along with his ability to understand the underlying business issues and client engagment skills make him a valuable member to have on any team.</t>
  </si>
  <si>
    <t>Nitin Wadhawan</t>
  </si>
  <si>
    <t>Engineering manager</t>
  </si>
  <si>
    <t xml:space="preserve">Seekify pte ltd(Sequoia backed) </t>
  </si>
  <si>
    <t>https://www.linkedin.com/in/nitin-w-0a003824/</t>
  </si>
  <si>
    <t>careertech@mamiteam.com</t>
  </si>
  <si>
    <t>nitinwadhawan66@gmail.com</t>
  </si>
  <si>
    <t>CEO @Seekify</t>
  </si>
  <si>
    <t>Ajeet Singh khushwaha (Cofounder and CTO)</t>
  </si>
  <si>
    <t>Sandhya Sharma</t>
  </si>
  <si>
    <t>Backend Engineer - Machine Learning/Data</t>
  </si>
  <si>
    <t>Seekify Pte Ltd</t>
  </si>
  <si>
    <t>https://www.linkedin.com/in/sandhya-sharma-3940ab26/</t>
  </si>
  <si>
    <t>Senior iOS Developer</t>
  </si>
  <si>
    <t xml:space="preserve">1.        Coordinate with cross-functional teams (Backend, DevOps, Design, etc.) on planning and execution
2.        Partner with the product management team to define and execute the feature roadmap
3.        Design, build and improve the mobile experiences for one of the world's fastest-growing mobile apps
4.        Proactively manage stakeholders communication related to deliverables, risks, charges, and dependencies
5.        Communicate, collaborate and work effectively across cross-functional teams in a global environment
6.        Provide technology leadership to the team and foster engineering excellence
</t>
  </si>
  <si>
    <t xml:space="preserve">1.        4 years of experience with iOS development
2.        Proficient in Swift programming
3.        Strong understanding of iOS Apps architecture and implementation
4.        Ability to write model code for functional and nonfunctional requirements and help improve the code quality standard across the team
5.        Working experience with popular libraries for networking, async, image loading etc.
6.        Know of reactive swift, data binding and MVVM architecture is a plus
</t>
  </si>
  <si>
    <t>sharma.sandhya17@gmail.com</t>
  </si>
  <si>
    <t>Arihant Jain, Co-founder @ Seekify.com</t>
  </si>
  <si>
    <t>Nitin Wadhawan, Engineering Lead @ Seekify</t>
  </si>
  <si>
    <t>Visa-required</t>
  </si>
  <si>
    <t>Soham Babu</t>
  </si>
  <si>
    <t>Backend Senior Software Eng</t>
  </si>
  <si>
    <t>https://in.linkedin.com/in/sohambabu</t>
  </si>
  <si>
    <t>https://www.linkedin.com/jobs/view/1775059660</t>
  </si>
  <si>
    <t>1989sbabu@gmail.com</t>
  </si>
  <si>
    <t>Ajeet Kushwah, Arihant Jain, co-founder @seekify.com</t>
  </si>
  <si>
    <t>Sanjay Talukdar</t>
  </si>
  <si>
    <t>Product Consultant</t>
  </si>
  <si>
    <t>https://www.linkedin.com/in/sanjay-talukdar/</t>
  </si>
  <si>
    <t>talukdar.sanjay@gmail.com</t>
  </si>
  <si>
    <t>Arihant Jain @ Co-Founder Seekify Technologies</t>
  </si>
  <si>
    <t>Evelina Sinkeviciute</t>
  </si>
  <si>
    <t>Product marketer</t>
  </si>
  <si>
    <t>Fyde Inc</t>
  </si>
  <si>
    <t>https://www.linkedin.com/in/evelinasinkeviciute/</t>
  </si>
  <si>
    <t>sinkeviciute.evelina@gmail.com</t>
  </si>
  <si>
    <t>Michael Lints Partner at Golden Gate Ventures (LinkedIn recommendation)</t>
  </si>
  <si>
    <t>Need a visa</t>
  </si>
  <si>
    <t>Senior Front-end developer</t>
  </si>
  <si>
    <t>Gazal Khandelwal</t>
  </si>
  <si>
    <t xml:space="preserve">1.	Develop new features and applications while working closely with QA to ensure a quality end-user experience
2.	Coordinate with Product and UX teams to help scope, design, and estimate features and enhancements being considered
3.	Ensure clean coding Product practices and patterns are used through collaborative code design and review
4.	Monitor crash reporting and performance or analytics services to identify trends or spikes of importance or concern
</t>
  </si>
  <si>
    <t>https://www.linkedin.com/in/gazalkhandelwal</t>
  </si>
  <si>
    <t xml:space="preserve">1.	Min 6 years of experience in building web apps using modern HTML5, CSS3, and JS
2.	Solid computer science fundamentals
3.	Solid fundamental understanding of JavaScript/EcmaScript
4.	Good understanding of layout and basic UI
5.	Familiar with REST API
6.	Strong in JavaScript Framework ( Vue, React, Angular)
7.	Knowledge and experience with JavaScript testing framework (e.g. Jest, Mocha)
8.	Experience in modern web development (e.g. Single Page App, Progressive Web App)
9.	Experience in lean/XP development methods (TDD, Pair Programming, Scrum, Kanban, Continuous Integration/Delivery)
10.	Eagerness to work openly and collaboratively with a diverse team
11.	In-depth understanding of the entire web development process (design, development, and deployment)
</t>
  </si>
  <si>
    <t>Khandelwal.gaz@gmail.com</t>
  </si>
  <si>
    <t>Arihant, CEO @ Seekify.com</t>
  </si>
  <si>
    <t xml:space="preserve">Karan Nathani </t>
  </si>
  <si>
    <t>Startup Relations Manager</t>
  </si>
  <si>
    <t>Digitaraya</t>
  </si>
  <si>
    <t>https://www.linkedin.com/in/karannathani/</t>
  </si>
  <si>
    <t>https://www.linkedin.com/jobs/view/1783875400</t>
  </si>
  <si>
    <t>nathani.karan93@gmail.com</t>
  </si>
  <si>
    <t>Marketing, BD and Partnerships, Ops, HR, People, Talent</t>
  </si>
  <si>
    <t>Junia @ Kolibra Capital</t>
  </si>
  <si>
    <t>Indian citizen</t>
  </si>
  <si>
    <t>Charlene Xu</t>
  </si>
  <si>
    <t>Revenue Manager</t>
  </si>
  <si>
    <t>www.linkedin.com/in/charlenexuqingling</t>
  </si>
  <si>
    <t>ling.xuq@gmail.com</t>
  </si>
  <si>
    <t>BD and Partnerships, Product, Ops, Data and analytics</t>
  </si>
  <si>
    <t>Minn Yang, Marketer @ ZUZU Hospitality</t>
  </si>
  <si>
    <t>Vikram Malhi, Co-founder @ ZUZU Hospitality</t>
  </si>
  <si>
    <t>No Visa requirements (Singapore Citizen)</t>
  </si>
  <si>
    <t>Taufan Budi</t>
  </si>
  <si>
    <t>Producer (Content)</t>
  </si>
  <si>
    <t>Stats Perform</t>
  </si>
  <si>
    <t>https://www.linkedin.com/in/taufan-budi-2a99b070/</t>
  </si>
  <si>
    <t>Senior UX Research</t>
  </si>
  <si>
    <t xml:space="preserve">1.	Manage and conduct research, translating user behaviors into great user experience insight
2.	Working closely, communicate insights and recommendations to UI/UX Designers, Product Managers and key stakeholders from the initial product design process
3.	Great knowledge and experience with usability testing, ethnography, contextual inquiry, creation of user personas, journey mapping, surveys, in-depth interviews, data analysis and quantify the commercial impact
4.	Sound qualitative/quantitative research methods.
5.	Product Research Evangelist to create awareness about research/data-driven user-centered design and design thinking across multiple divisions.
6.	Initiate sharing session as an opportunity to learn.
</t>
  </si>
  <si>
    <t xml:space="preserve">1.	Bachelor’s degree in any relevant major
2.	Have min. 3 years’ experiences in market or user research
3.	Strong understanding, empathy, and sense about customers
4.	Motivated, high attention to details, high curiosity, Critical thinker and Strong analytical, quantitative and qualitative problem-solving skills
5.	Doing synthesis data and explore the solution with several methods in the Diverge Phase.
6.	Great interpersonal and communication skills
7.	Excellent written and verbal communication skills, including strong presentation skills to present insights and recommendations persuasively, in a compelling, easy to understand manner.
</t>
  </si>
  <si>
    <t>taufanbudi@ymail.com</t>
  </si>
  <si>
    <t>Marketing, BD and Partnerships, Design</t>
  </si>
  <si>
    <t>Simarnivair Ghangas, VP Sales @ Stats Perform - SIngapore</t>
  </si>
  <si>
    <t>James Maden, Head of Global Content Network @ Stats Perform, UK</t>
  </si>
  <si>
    <t>Taufan is without question one of the best employees I've had the privilege of managing in my career. Taufan is passionate, dedicated and conscientious in his work.</t>
  </si>
  <si>
    <t>I would require a work visa.</t>
  </si>
  <si>
    <t>See Toh Whye Mei (Joelly)</t>
  </si>
  <si>
    <t>http://linkedin.com/in/joelly-see-toh-075254146</t>
  </si>
  <si>
    <t>Indonesia (Jakarta)</t>
  </si>
  <si>
    <t>https://www.linkedin.com/jobs/view/1782543388</t>
  </si>
  <si>
    <t>joellymay@gmail.com</t>
  </si>
  <si>
    <t>Sales, BD and Partnerships, Product</t>
  </si>
  <si>
    <t xml:space="preserve">Charlene - Revenue Manager of Zuzu Hospitality </t>
  </si>
  <si>
    <t xml:space="preserve">Vikram Malhi- Co Founder and CEO of Zuzu Hospitality </t>
  </si>
  <si>
    <t>Joelly responsibility included sales and business development for the Singapore market. Joelly fulfilled all her responsibilities diligently and in utmost professional manner. She was a great team player with a very strong work ethic and contributed significantly towards growing the company’s business in Singapore.</t>
  </si>
  <si>
    <t>Evangeline Poon</t>
  </si>
  <si>
    <t>https://www.linkedin.com/in/evangelinepoon/</t>
  </si>
  <si>
    <t>evangelinepoonqm@gmail.com</t>
  </si>
  <si>
    <t>Sim Chun Peng</t>
  </si>
  <si>
    <t>Senior Manager Business Process</t>
  </si>
  <si>
    <t>Naveen Chouksey</t>
  </si>
  <si>
    <t>Executive Customer success</t>
  </si>
  <si>
    <t xml:space="preserve">1.	Analyze workflows for multiple departments to drive performance improvement and identify efficiency opportunities throughout the department.
2.	Discover and define the optimization of business processes, policies, and procedures.
3.	Plan and ensure the execution of improvement projects are thoroughly implemented in the targeted organization.
4.	Support business leaders with continuous analysis of our business processes, quantifying opportunities, and solution proposals.
5.	Continuously research, give insight, negotiate, test, and implement tools that effectively helps the team.
6.	Collaborate with other departments for the development of business process improvement tools.
</t>
  </si>
  <si>
    <t>Capillary Technologies</t>
  </si>
  <si>
    <t>naveen23688@hotmail.com</t>
  </si>
  <si>
    <t xml:space="preserve">1.	+3 years experience in a fast-paced role; fresh graduates are welcome to apply.
2.	Bachelor's degree in Business Analytics, Business Administration, relevant major or relevant experience.
3.	Have a strong interest in Product and Business Development.
4.	Strong organizational skills; demonstrated ability to manage small technology projects.
5.	Strong verbal and written communication skills in English and Bahasa Indonesia.
6.	Strong collaboration skills and willingness to work independently with others towards the same outcome and drive results.
</t>
  </si>
  <si>
    <t>My friend</t>
  </si>
  <si>
    <t>Parinee Chantaharn</t>
  </si>
  <si>
    <t>Regional Business Support Executive</t>
  </si>
  <si>
    <t>https://www.linkedin.com/in/parinee-chantaharn/</t>
  </si>
  <si>
    <t>https://www.linkedin.com/jobs/view/1774429712</t>
  </si>
  <si>
    <t>parisnee@gmail.com</t>
  </si>
  <si>
    <t>S-Pass or EP</t>
  </si>
  <si>
    <t>Adhesya Pratama Putrad</t>
  </si>
  <si>
    <t>Community and Partnership</t>
  </si>
  <si>
    <t>Bitread Publishing</t>
  </si>
  <si>
    <t>https://www.linkedin.com/in/adhesya-pratama/</t>
  </si>
  <si>
    <t>adhesyapratama@gmail.com</t>
  </si>
  <si>
    <t>Got from Twitter</t>
  </si>
  <si>
    <t>Auliya Millatina Fajwah, Business Development Manager Bitread Publishing</t>
  </si>
  <si>
    <t>Jade Yeo</t>
  </si>
  <si>
    <t>BD and Ops Executive</t>
  </si>
  <si>
    <t>99.co</t>
  </si>
  <si>
    <t>www.linkedin.com/in/jadeyeo</t>
  </si>
  <si>
    <t xml:space="preserve">1.	Technical responsibility for data and data pipelines to ensure compliance with data standards, architectural standards, and achievement of documented requirements.
2.	Develop and maintain current state documentation and deliverables for data solutions.
3.	Maintain existing and new data solutions to ensure that they continue to meet user needs.
4.	Create data tools for data scientist team members that assist them in building and optimizing our product into an innovative industry leader.
5.	Work with data and analytics experts to strive for greater functionality in our data systems.
</t>
  </si>
  <si>
    <t xml:space="preserve">1.	Bachelor Degree in Computer Science, IT, Mathematics or related field.
2.	Minimum 2 year experience as a Data Engineer.
3.	Expert proficiency in Python, C++, Java, R, and SQL.
4.	Experience working with complex ETL and Datawarehouse will be valuable.
5.	Familiar with big data and data engineering infrastructure.
6.	Great software engineer who know how to write clean code and see it as craftsmanship.
7.	Excellent analytical and problem-solving skills.
8.	Good communication and collaboration skill.
9.	Passionate about startup, innovation and technology.
10.	Adaptable to dynamic environment and fast-paced environment and changing requirements.
</t>
  </si>
  <si>
    <t>jadeyeo96@gmail.com</t>
  </si>
  <si>
    <t>Hengs, People Operations Executive @ 99.co</t>
  </si>
  <si>
    <t>N/A - Singaporean</t>
  </si>
  <si>
    <t>Janelle Lim</t>
  </si>
  <si>
    <t>Office Manager, People Operations</t>
  </si>
  <si>
    <t xml:space="preserve">Style Theory </t>
  </si>
  <si>
    <t>https://www.linkedin.com/in/janelle-lim-750787135</t>
  </si>
  <si>
    <t>https://www.linkedin.com/jobs/view/1780547554</t>
  </si>
  <si>
    <t>monadelphouslxy@gmail.com</t>
  </si>
  <si>
    <t xml:space="preserve">Raena - You are the bright sunshine and brings a lot of joy to not just pops team but the bigger company. </t>
  </si>
  <si>
    <t>Thirafi Raudy</t>
  </si>
  <si>
    <t>AI Developer</t>
  </si>
  <si>
    <t>Noodle Factory</t>
  </si>
  <si>
    <t>https://www.linkedin.com/in/rafiraudy</t>
  </si>
  <si>
    <t>thirafi.raudy@gmail.com</t>
  </si>
  <si>
    <t>Ilman Dzikri</t>
  </si>
  <si>
    <t>I'm currently on EP</t>
  </si>
  <si>
    <t>Usha Rani</t>
  </si>
  <si>
    <t>Research Executive</t>
  </si>
  <si>
    <t>Prime HR</t>
  </si>
  <si>
    <t>- Develop our payments products and our API using the best practices in modern API development
- Improve our payments and API  infrastructure to ensure reliability, scalability, and security
- Evangelize best practices across the engineering org 
- Train and up-skill engineers on a day-to-day basis
- Do whatever it takes to make Xendit succeed</t>
  </si>
  <si>
    <t>Na</t>
  </si>
  <si>
    <t>- Successful track record of developing quality software products and shipping production-ready software
- JavaScript expertise, and a familiarity with TypeScript
- Strong knowledge of REST and pub/sub design patterns
- Experience with relational and NoSQL database schema design and query optimization
- Experience with unit, integration, and E2E test frameworks such as jest, mocha, supertest, and cucumber
- Ability to mentor and level up other software engineers on your team
- Experience with Scrum/Agile development methodologies
- Ability to break down complex product requirements into well-groomed user stories
- Experience working with bank, e-wallet, retail outlet, credit/debt card, and/or e-commerce payment systems and APIs
- Familiarity with containerization, including docker and kubernetes
- Proficiency with Golang
- Ability to architect distributed systems on cloud computing platforms such as AWS, GCP, or AliCloud (including serverless approaches)
- Ability to guide a team through refactoring high-throughput legacy code</t>
  </si>
  <si>
    <t>Usharani9089@gmail.com</t>
  </si>
  <si>
    <t>Xendit</t>
  </si>
  <si>
    <t>Sales, Accounting, Finance, Ops, Exec team, HR, People, Talent</t>
  </si>
  <si>
    <t>Payment Gateway</t>
  </si>
  <si>
    <t>Jakarta, Singapore, Kuala Lumpur</t>
  </si>
  <si>
    <t xml:space="preserve">Vikram </t>
  </si>
  <si>
    <t>https://hire.withgoogle.com/public/jobs/xenditco/view/P_AAAAAAEAAE9MXU0pJ6oQEB</t>
  </si>
  <si>
    <t>Shobana</t>
  </si>
  <si>
    <t>Holding a Singapore passport</t>
  </si>
  <si>
    <t>Hong Cheng, Choong</t>
  </si>
  <si>
    <t>backend, devops, mobile</t>
  </si>
  <si>
    <t>CHCLab Solutions</t>
  </si>
  <si>
    <t>https://www.linkedin.com/in/choong-hong-cheng/</t>
  </si>
  <si>
    <t>me@chclab.net</t>
  </si>
  <si>
    <t>Khoo Kah Lee @ TE4P, Penang</t>
  </si>
  <si>
    <t>Paige Lee</t>
  </si>
  <si>
    <t>Skift</t>
  </si>
  <si>
    <t>https://www.linkedin.com/in/paige-lee-peiqi/</t>
  </si>
  <si>
    <t>careers@xendit.co cc: sandy@xendit.co</t>
  </si>
  <si>
    <t>leepeiqi@gmail.com</t>
  </si>
  <si>
    <t>- Develop our credit card, debit card, and fraud detection products using the best practices in modern API development
- Improve our payment infrastructure to ensure reliability and security 
- Work with data team to provide insights into our customers’ behaviour.
- Do whatever it takes to make Xendit succeed</t>
  </si>
  <si>
    <t>Michael Hendriks</t>
  </si>
  <si>
    <t>- Successful track record of developing quality software products and shipping production-ready software
- JavaScript expertise, and a familiarity with TypeScript
- Strong knowledge of REST and pub/sub design patterns
- Experience with relational and NoSQL database schema design and query optimization
- Experience with unit, integration, and E2E test frameworks such as jest, mocha, supertest, and cucumber
- Ability to mentor and level up other software engineers on your team
- Experience with Scrum/Agile development methodologies
- Ability to break down complex product requirements into well-groomed user stories</t>
  </si>
  <si>
    <t>Helmad</t>
  </si>
  <si>
    <t>www.linkedin.com/in/michael-hendriks/</t>
  </si>
  <si>
    <t>https://hire.withgoogle.com/public/jobs/xenditco/view/P_AAAAAAEAAE9Ba2lnedTRA2</t>
  </si>
  <si>
    <t>miked.hendriks@gmail.com</t>
  </si>
  <si>
    <t>Need Kitas in Indonesia</t>
  </si>
  <si>
    <t>Cati Nugraha Bilanguna</t>
  </si>
  <si>
    <t>Partner Engagement Coordinator</t>
  </si>
  <si>
    <t>https://www.linkedin.com/in/cati-nugraha-bilanguna-227421b5/</t>
  </si>
  <si>
    <t>catinugraha.b@gmail.com</t>
  </si>
  <si>
    <t>Marketing, BD and Partnerships, Product, Data and analytics</t>
  </si>
  <si>
    <t>friend</t>
  </si>
  <si>
    <t>Nikhil Nagpal</t>
  </si>
  <si>
    <t>IBM</t>
  </si>
  <si>
    <t>https://www.linkedin.com/in/nikhil-nagpal/</t>
  </si>
  <si>
    <t>Senior QA Engineer</t>
  </si>
  <si>
    <t>- Perform test scoping, estimation, preparation and execution for application enhancements and bug fixes.
- Administer detailed test plans, progress reports and end of test reports.
- Analyse requirements documentation and provide constructive feedback with detailed test estimations.
- Liaise with product managers, Team Leads and developers to accurately understand the systems and produce effective test scripts and execution plans.
- Proactively engage with all stakeholders to close gaps in requirements
- Define test scenarios based on business requirements and Debug, record and manage defects throughout their lifecycle.
- Own manual integration test activities on the core application service using REST API clients and database query tools.
- Author new and update existing automated integration tests of all the core business APIs.
- Maintain automation test suites and provide regular feedback for continuous improvement
- Provide team demos and conduct learning sessions to ensure fluid collaboration and knowledge share within the QA and wider development teams</t>
  </si>
  <si>
    <t xml:space="preserve">- 3+ years of professional experience within e-commerce or e-payments
- Strong QA background in REST API and Web GUI testing
- Good experience with manual and automated testing tools
- Excellent fault finding, debugging and diagnostic skills
- Experienced scripting in at least 1 coding language, preferably JavaScript
- Exposure to API testing using jmeter/ postman etc
- Knowledge on Selenium Webdriver (using Java or python)
- Proven experience designing and implementing test plans and complex test scenarios
- Comfortable in an Agile environment with rapid application development
- Extremely organised, methodical but remain logical and realistic to achieve targets
- Confident collaborating with technical and non-technical stakeholders whilst taking full ownership of all test activities within your scope
- Bachelor’s degree in engineering or computer science preferred
</t>
  </si>
  <si>
    <t>https://hire.withgoogle.com/public/jobs/xenditco/view/P_AAAAAAEAAE9Ae-n_XbRXKi</t>
  </si>
  <si>
    <t>nikhil.nagpal0807@gmail.com</t>
  </si>
  <si>
    <t>Nikhil is a very person you can rely on getting things done. Him being in team gave me the comfort that the project would be done no matter the effort required</t>
  </si>
  <si>
    <t>Require EP Sponsorship</t>
  </si>
  <si>
    <t>Dyah Muthia</t>
  </si>
  <si>
    <t>Guest Service Agent</t>
  </si>
  <si>
    <t>Holiday Inn Express Jakarta Matraman</t>
  </si>
  <si>
    <t>dyahmuthia123@gmail.com</t>
  </si>
  <si>
    <t>From an instagram user @soniaeryka , she posted it on her story</t>
  </si>
  <si>
    <t>Puput Amelia , Senior Guest Service Agent</t>
  </si>
  <si>
    <t>Daniel Tan</t>
  </si>
  <si>
    <t>Data Scientist / Principle Analyst</t>
  </si>
  <si>
    <t>Traveloka / TripAdvisor</t>
  </si>
  <si>
    <t>https://www.linkedin.com/in/ddanieltan/</t>
  </si>
  <si>
    <t>danieltan.singapore@gmail.com</t>
  </si>
  <si>
    <t>Mercia Wijaya @ Grab</t>
  </si>
  <si>
    <t>Mickey HC Shin</t>
  </si>
  <si>
    <t>Head of Business Develolment</t>
  </si>
  <si>
    <t>Autobnb</t>
  </si>
  <si>
    <t>http://linkedin.com/in/mickey-hc-shin-9a50395</t>
  </si>
  <si>
    <t>Front-End UX Developer</t>
  </si>
  <si>
    <r>
      <t xml:space="preserve">As a key member of the development team, you will design and develop software as a product that meet users’ need functionally and aesthetically, making our solution more compelling, user-friendly and intuitive.
</t>
    </r>
    <r>
      <rPr>
        <b/>
        <sz val="10"/>
        <rFont val="Arial"/>
      </rPr>
      <t xml:space="preserve">
UX Designer</t>
    </r>
    <r>
      <rPr>
        <sz val="10"/>
        <color rgb="FF000000"/>
        <rFont val="Arial"/>
      </rPr>
      <t xml:space="preserve">
As the owner of this key function, you will:
•        Create process/user flows, sitemaps, wireframes and clickable prototypes to illustrate the proposed application flow and functionality
•        Understand product specifications and user psychology
•        Conduct concept and usability testing and gather feedback
•        Create personas through user research and data
•        Contribute to user interface design best practices and standards
</t>
    </r>
    <r>
      <rPr>
        <b/>
        <sz val="10"/>
        <rFont val="Arial"/>
      </rPr>
      <t xml:space="preserve">
Front End Developer</t>
    </r>
    <r>
      <rPr>
        <sz val="10"/>
        <color rgb="FF000000"/>
        <rFont val="Arial"/>
      </rPr>
      <t xml:space="preserve">
As the owner of this key function, you will:
•        Design, develop and maintain front end development for web and/or Windows/Linux applications
•        Work closely with Creative Designer and back-end developer to achieve the desired result
•        Contribute to development best practices and standards
</t>
    </r>
  </si>
  <si>
    <t xml:space="preserve">•	Degree Computer Science, IT, Human-Computer Interaction or related studies
•	At least 3 years working experience as Front End UX developer
•	Proficient in wireframe tools, e.g. Invision, Adobe XD, etc.
•	Knowledge of best practices in UX/UI design
•	Able to create low-fidelity and hi-fidelity mockup screens
•	Proficient in front end development for web application and mobile application, including HTML, CSS, JavaScript framework, etc.
•	Knowledge in front end development for Windows/Linux application is an added advantage
•	Find creative ways to solve UX problems (e.g. usability, findability)
•	Fast learner in new programming technology
•	A good team player with great initiative, independence and credibility
</t>
  </si>
  <si>
    <t>SecureAge Technology</t>
  </si>
  <si>
    <t>mickeyshin89@gmail.com</t>
  </si>
  <si>
    <t>Marketing, Sales, BD and Partnerships, Accounting, Ops</t>
  </si>
  <si>
    <t>South Korea</t>
  </si>
  <si>
    <t>John, Managing Director@Autobnb</t>
  </si>
  <si>
    <t>https://www.secureage.com/about/careers/singapore/front-end-ux-developer/</t>
  </si>
  <si>
    <t>Aakash suri</t>
  </si>
  <si>
    <t>Senior UX Designer (Brand)</t>
  </si>
  <si>
    <t>https://www.linkedin.com/in/aakash-suri-aa772b67/</t>
  </si>
  <si>
    <t>aakashart1@gmail.com</t>
  </si>
  <si>
    <t>Mr. Arihant Jain, Co-founder @ Seekify</t>
  </si>
  <si>
    <t>Arihant Jain, Co-founder Seekify</t>
  </si>
  <si>
    <t xml:space="preserve">Will require VISA </t>
  </si>
  <si>
    <t>Faleria Casson</t>
  </si>
  <si>
    <t>Human Resources</t>
  </si>
  <si>
    <t>Dimopay (Traveloka Group)</t>
  </si>
  <si>
    <t>https://www.linkedin.com/in/faleriapriskacasson/</t>
  </si>
  <si>
    <t>recruit@secureage.com</t>
  </si>
  <si>
    <t>faleriapriska@gmail.com</t>
  </si>
  <si>
    <t>friend in twitter</t>
  </si>
  <si>
    <t>Sanya Agarwal</t>
  </si>
  <si>
    <t>Business and Strategy Analyst</t>
  </si>
  <si>
    <t xml:space="preserve">linkedin.com/in/sanya-agarwal-b50232110 </t>
  </si>
  <si>
    <t>MacOS Device Driver Developer</t>
  </si>
  <si>
    <t xml:space="preserve">SecureAge Technology Pte Ltd is looking for experienced Mac OSX developers to join a development team working in the IT security industry.
The position requires skill in development of software applications and device drivers for Mac OSX. The right candidate will be expected to demonstrate disciplined work habits leading to products that are well-structured, documented, and carefully tested. SA Development personnel can expect to work across all functional areas: systems engineering, development, integration and test, deployment and O&amp;M. This position may also require direct interaction with end users and customers.
•	Design and build advanced applications and device drivers for the OSX platform of our robust Windows applications for file level encryption and AI-based anti-malware 
•	Collaborate with cross-functional teams to define, design, and ship Mac OSX versions of our software and propose new features 
•	Unit-test code for robustness, including edge cases, usability, and general reliability 
•	Work on bug fixing and improving application performance 
•	Continuously discover, evaluate, and implement new technologies
</t>
  </si>
  <si>
    <t xml:space="preserve">•        Candidate must possess at least Bachelor's Degree in Computer Science, Computer Engineering or equivalent
•        A minimum of 3 or more years of relevant software development experience
•        Demonstrate expertise developing for OSX using C or C++
•        Experience writing device drivers for OSX, Linux, or Windows OS
•        Experience developing OS support packages and/or APIs
•        Develop OSX code &amp; custom software to support software and hardware interoperability
•        Create OSX scripts in support of software integration in a laboratory environment
•        Provide support for troubleshooting HW/OS/Drivers/Firmware/Network issues
•        Investigate, troubleshoot, and isolate problems found during testing and create detailed bug reports
•        Good understanding of product lifecycle management including configuration management, release management, and verification of functional and performance requirements
•        Ability to perform in both rapid-prototyping and formal-process environment
</t>
  </si>
  <si>
    <t>https://www.secureage.com/about/careers/singapore/mac-osx-device-driver-developer/</t>
  </si>
  <si>
    <t>sanyaagarwal95@yahoo.com</t>
  </si>
  <si>
    <t>Marketing, BD and Partnerships, Finance, Ops</t>
  </si>
  <si>
    <t>HOOQ Network of colleagues</t>
  </si>
  <si>
    <t>Currently on employment pass</t>
  </si>
  <si>
    <t>Veronica</t>
  </si>
  <si>
    <t>https://www.linkedin.com/in/veronica-linti-5041164a/</t>
  </si>
  <si>
    <t>veronicalinti@gmail.com</t>
  </si>
  <si>
    <t>Cindy Susanto, @traveloka.com</t>
  </si>
  <si>
    <t>Denise Han, Content Manager</t>
  </si>
  <si>
    <t>EP or SPass</t>
  </si>
  <si>
    <t>Agung Irawan Marta Lingga</t>
  </si>
  <si>
    <t>Business Development and Operation Manager</t>
  </si>
  <si>
    <t>Eatsyapp</t>
  </si>
  <si>
    <t>https://www.linkedin.com/in/agungmartalingga/</t>
  </si>
  <si>
    <t xml:space="preserve">You will work with our software product development team in creating world-class information security products and solutions.
Responsibilities
•	Design, develop and maintain existing security products 
•	Research and evaluate new technology to be adopted into new or existing products 
•	Work together with the Technical Support team to support our enterprise customers
</t>
  </si>
  <si>
    <t>amartalingga@gmail.com</t>
  </si>
  <si>
    <t xml:space="preserve">•        Bachelor's Degree in Computer Science / Computer Engineering or related field 
•        Proficient in C, C++, Java, C#, or Swift programming languages is preferred 
•        Fast learner in new programming technology 
•        A good team player with great initiative, independence and credibility 
•        Fresh graduates are welcomed to apply
Optional
•	Knowledge in Windows File System Driver 
•	Knowledge of Linux OS and open source technology in general
</t>
  </si>
  <si>
    <t>Maria @ Homage</t>
  </si>
  <si>
    <t>https://www.secureage.com/about/careers/singapore/software-engineer/</t>
  </si>
  <si>
    <t>Davy Joubert</t>
  </si>
  <si>
    <t>ELVA Group</t>
  </si>
  <si>
    <t>www.linkedin.com/in/davy-joubert</t>
  </si>
  <si>
    <t>joubert.davy@gmail.com</t>
  </si>
  <si>
    <t>Hong-Kong, China</t>
  </si>
  <si>
    <t>La French Tech Talent</t>
  </si>
  <si>
    <t>Huiwen Ong</t>
  </si>
  <si>
    <t>Campaign Coordinator</t>
  </si>
  <si>
    <t>https://www.linkedin.com/in/huiwen-ong-7b2258181/</t>
  </si>
  <si>
    <t>huiwen_ong@hotmail.com</t>
  </si>
  <si>
    <t xml:space="preserve">Colleagues </t>
  </si>
  <si>
    <t>Sales Associate</t>
  </si>
  <si>
    <t>Cann Prugsanapan</t>
  </si>
  <si>
    <t>Sales Manager, APAC</t>
  </si>
  <si>
    <r>
      <rPr>
        <b/>
        <sz val="10"/>
        <rFont val="Arial"/>
      </rPr>
      <t xml:space="preserve">About PolicyPal:
</t>
    </r>
    <r>
      <rPr>
        <sz val="10"/>
        <color rgb="FF000000"/>
        <rFont val="Arial"/>
      </rPr>
      <t xml:space="preserve">PolicyPal is a licensed digital financial advisory firm, Asia’s leading life insurance platform providing personalised financial review and action plan to help you reach financial freedom.
</t>
    </r>
    <r>
      <rPr>
        <b/>
        <sz val="10"/>
        <rFont val="Arial"/>
      </rPr>
      <t xml:space="preserve">Sales Associate Role:
</t>
    </r>
    <r>
      <rPr>
        <sz val="10"/>
        <color rgb="FF000000"/>
        <rFont val="Arial"/>
      </rPr>
      <t xml:space="preserve">Are you passionate about helping people and keen to start a sales role? Are you a great communicator? Come join the PolicyPal Inside Sales team! This role is on the front lines of the PolicyPal customer experience where you will behandling all inbound and outbound leads for insurance customers and ensuring they getthe coverage they need during this trying period.
Your Mission:
●Onboard new insurance customers into the application
●Communicate professionally with customers through various channels, includingphone, email, chat and text
●Collaborate with operations and sales lead to ensure a seamless customerexperience
●Master the workflows and software tools necessary to carry out yourresponsibilities
●Prompt, persistent and tactful follow up with customers to close the sales cycle.
●Provide actionable feedback from customers to other teams to improve.
</t>
    </r>
  </si>
  <si>
    <t>https://www.linkedin.com/in/cann-prugsanapan-1b699651/</t>
  </si>
  <si>
    <r>
      <rPr>
        <b/>
        <sz val="10"/>
        <rFont val="Arial"/>
      </rPr>
      <t xml:space="preserve">You have...
</t>
    </r>
    <r>
      <rPr>
        <sz val="10"/>
        <color rgb="FF000000"/>
        <rFont val="Arial"/>
      </rPr>
      <t>●At least 1+ year of work experience
●Self-driven with a hungry attitude.
●Ability to work a flexible schedule
●Strong communication skills and an enthusiasm for speaking with customersover the phone; past phone-based, customer-focused experience a plus
●A sales mindset: you’re motivated by the opportunity to connect prospectivecustomers to a product that meets their needs</t>
    </r>
  </si>
  <si>
    <t>PolicyPal Singapore Pte Ltd</t>
  </si>
  <si>
    <t>FinTech</t>
  </si>
  <si>
    <t>https://startupjobs.xyz/sales-associate-776</t>
  </si>
  <si>
    <t>cannprug@gmail.com</t>
  </si>
  <si>
    <t>Krista Tudtud / Sales Manager @ Sojern</t>
  </si>
  <si>
    <t xml:space="preserve">Lina Ang, General Manager @ Sojern </t>
  </si>
  <si>
    <t>I need a work pass to work in Singapore</t>
  </si>
  <si>
    <t>Ayata Arrasyid</t>
  </si>
  <si>
    <t>Deputy Training Manager</t>
  </si>
  <si>
    <t>Susi Air</t>
  </si>
  <si>
    <t>https://www.linkedin.com/in/ayataarrasyid/</t>
  </si>
  <si>
    <t>You may send your cv to hr@policypal.com or iswan@policypal.com</t>
  </si>
  <si>
    <t>ayataarrasyid@gmail.com</t>
  </si>
  <si>
    <t>Stefano Ganassi</t>
  </si>
  <si>
    <t>I have to thank you for the past few years. You've been a great guy really, one of the very few whose intelligence and professionalism made a difference. I am sure best thing are around the corner. I wouldn't say this if i don't think you are. Happy to met you.</t>
  </si>
  <si>
    <t>Adila Haris</t>
  </si>
  <si>
    <t>Sales Manager South East Asia</t>
  </si>
  <si>
    <t>https://www.linkedin.com/in/adila-haris-b56b3368/</t>
  </si>
  <si>
    <t xml:space="preserve">•	Design, develop, and maintain existing or new web application and batch processing
•	Design scalable and highly available systems
•	Research and evaluate new technology to be adopted into new or existing products
•	Work together with QA and Technical Support team to support our customers
</t>
  </si>
  <si>
    <t xml:space="preserve">•	Bachelor’s Degree in Computer Science/ Computer Engineering or related field
•	At least 5 years working experience on software development
•	At least 2 years working experience on scalable systems involving database
•	Proficient in Perl, PHP, bash, or other scripting language
•	Proficient in database management
•	Solid understanding of Unix/Linux environment
•	Experience in designing complex scalable web applications especially in horizontal scaling of database and application servers
•	Knowledge of hardware troubleshooting, i.e. disk I/O, memory usage, etc.
•	Experience with performance and optimization multi-threaded problems and demonstrated ability to diagnose and prevent these problems
•	Strong technical aptitude and ability to research and solve complex issues independently
•	Fast learner in new programming technology
•	A good team player with great initiative, independence and credibility
</t>
  </si>
  <si>
    <t>https://www.secureage.com/about/careers/singapore/senior-software-engineer/</t>
  </si>
  <si>
    <t>adilamasyitha.haris@hotmail.com</t>
  </si>
  <si>
    <t>Manager at Sojern</t>
  </si>
  <si>
    <t>Katy Gallagher and William Chan from Sojern</t>
  </si>
  <si>
    <t>Adila is a relationship focused seller. Building partnerships and creative campaigns is her expertise. Adila is one of the best sellers I have worked with when it comes to diversifying products for clients in order to drive innovation and increased performance. She's also very active in our SoFit (Sojern Fitness) Committee.</t>
  </si>
  <si>
    <t>Irfanah Ayub</t>
  </si>
  <si>
    <t>Associate Analyst</t>
  </si>
  <si>
    <t>https://www.linkedin.com/in/irfanah-ayub/</t>
  </si>
  <si>
    <t>irfanahbma@hotmail.com</t>
  </si>
  <si>
    <t>Lina Goh, Analyst Team Lead</t>
  </si>
  <si>
    <t>Irfanah is a highly motivated and self-driven individual, with a voracious appetite to grow and learn, and I know she will continue to find success in her future roles. I am confident that with Irfanah’s work attitude, she will be a valuable asset to any company she chooses to join.</t>
  </si>
  <si>
    <t>Gusman Widodo</t>
  </si>
  <si>
    <t>Head of Development</t>
  </si>
  <si>
    <t>TRAVLR</t>
  </si>
  <si>
    <t>https://www.linkedin.com/in/gusmanwidodo/</t>
  </si>
  <si>
    <t>Software Quality Assurance Engineer</t>
  </si>
  <si>
    <t xml:space="preserve">SecureAge Technology is seeking a Quality Assurance (QA) Engineer to join our team. As a QA Engineer, you will be responsible for planning and implementing a strategy for quality investigation and testing to ensure product and software integrity. You will be required to work closely with our software engineers and operations teams to analyse product/software defects and suggest solutions for quality improvements to better meet customer needs. Training on our security products and solutions will be provided.
Responsibilities
•	Estimate, prioritize, plan and coordinate quality testing activities
•	Create detailed, comprehensive and well-structured test plans and test cases
•	Record test progress and test results
•	Identify, record, document thoroughly and track defects
•	Perform manual and automated testing
•	Liaise with software developers and internal teams to understand project or software concept, objectives and approach of software development projects.
•	Stay up-to-date with new testing tools and test strategies and propose ideas that can streamline our existing process
</t>
  </si>
  <si>
    <t>gusmanwidodo@gmail.com</t>
  </si>
  <si>
    <t xml:space="preserve">•	Singaporean citizens only
•	Bachelor's degree or higher in Computer Engineer/Computer Science/Information Technology or related field with at least 4 years of relevant working experience
•	Experience with software quality assurance methodologies, tools and processes
•	Good writing and communication skills
•	Hands-on experience with automated testing tools is a plus
•	Experience with performance and/or security testing is a plus
•	Excellent analytical skills
•	Good writing and communication skills
•	Able to work with a team and/or stakeholder to achieve operational targets
•	Possesses critical and analytical thinking, multi-tasking and project management skills
•	Basic knowledge of programming languages such as C, C++ or Java is preferred
</t>
  </si>
  <si>
    <t>Riawan Arbi Kusuma, Product Owner @ TRAVLR</t>
  </si>
  <si>
    <t>Stuart Rowe, CTO of TRAVLR</t>
  </si>
  <si>
    <t xml:space="preserve">Gusman has been instrumental in building a highly functional development team from the ground up. Along the way he's navigated many of the challenges faced in transitioning an international development team and business from a small agile unit to a scaled, multidisciplinary enterprise team. These experiences along with his passion for technology will no doubt set him up to be a highly valuable contributor to any organisation in the future! </t>
  </si>
  <si>
    <t>Prita Anggraini</t>
  </si>
  <si>
    <t>General Affairs &amp; Executive Secretary</t>
  </si>
  <si>
    <t>SweetEscape.com , bridestory.com</t>
  </si>
  <si>
    <t>https://www.secureage.com/about/careers/singapore/software-quality-assurance-engineer/</t>
  </si>
  <si>
    <t>https://www.linkedin.com/in/prita-anggraini-93bb98a7/</t>
  </si>
  <si>
    <t>prita2508@gmail.com</t>
  </si>
  <si>
    <t>David Soong CEO @ Axioo, Boga Group and SweetEscape.com</t>
  </si>
  <si>
    <t>Emile Etienne, COO @ SweetEscape.com</t>
  </si>
  <si>
    <t>Emile is one of my favorite Leader (Co Founder basically)</t>
  </si>
  <si>
    <t>Faizal Egi Firmansyah</t>
  </si>
  <si>
    <t xml:space="preserve">SweetEscape </t>
  </si>
  <si>
    <t>https://www.linkedin.com/in/faizal-egi-firmansyah-630b0b112</t>
  </si>
  <si>
    <t>faizal.egi@gmail.com</t>
  </si>
  <si>
    <t xml:space="preserve">Indah, Vendor Relationship @ SweetEscape </t>
  </si>
  <si>
    <t xml:space="preserve">Yarra, Talent Acquisition Manager @ SweetEscape </t>
  </si>
  <si>
    <t xml:space="preserve">Faizal Egi is hard worker and always do extra miles in his job </t>
  </si>
  <si>
    <t>I'm a permanent resident of Indonesia</t>
  </si>
  <si>
    <t>I NYOMAN REVINO MAHAVIRA</t>
  </si>
  <si>
    <t>Operations Support Engineer</t>
  </si>
  <si>
    <t>LEAD OF DATA AND SUPPORT</t>
  </si>
  <si>
    <t>PT TRAVLR GUIDE INDONESIA</t>
  </si>
  <si>
    <t xml:space="preserve">You will work with various stakeholders to tackle technical issues by analyzing, diagnosing and then either solving the issues or escalating to other technical teams. Training will be provided for you to understand our security solutions thoroughly.
Responsibilities
•        Attend to operational and user inquiries via phone and email
•        Provide on-site support for software installation and troubleshooting
•        Attend meetings and take on the role as the point of contact or stakeholder for projects
•        Create, review and update operational documentation and reports using Word and Excel
•        Work closely with software development team in thorough software quality assurance and testing
</t>
  </si>
  <si>
    <t>https://www.linkedin.com/in/revinomahavira/</t>
  </si>
  <si>
    <t xml:space="preserve">•	Singapore citizenship is required
•	Diploma or Bachelor's degree in Computer Engineer/Computer Science or related field
•	Good writing and communication skills
•	A good team player with great initiative and independence
•	Passion for solving problems and supporting client needs
•	Excellent troubleshooting skills
•	Experience in supporting government agency is preferred
•	Experience with software testing is preferred
•	Experience with programming languages in C, Java or C++ is preferred
•	Flexible in working hours
•	Required to be on 24x7 standby
•	Overseas travel may be required
</t>
  </si>
  <si>
    <t>https://www.secureage.com/about/careers/singapore/operations-support-engineer/</t>
  </si>
  <si>
    <t>revino.mahavira@gmail.com</t>
  </si>
  <si>
    <t>Riawan Arbi Kusuma</t>
  </si>
  <si>
    <t>Gusman Widodo - Head of Engineering</t>
  </si>
  <si>
    <t>Vino is a very smart and enthusiast guy at TRAVLR. His dedicated to the team is EVERYTHING! His support regarding data and analytics for mobile team is very good. He is a good leader for his team, clearly we can see that the team he manage is moving forward quickly!</t>
  </si>
  <si>
    <t>Permanent Residence</t>
  </si>
  <si>
    <t>viktor ari sasongko</t>
  </si>
  <si>
    <t>marketing communication</t>
  </si>
  <si>
    <t>pigijo.com</t>
  </si>
  <si>
    <t>https://www.linkedin.com/in/victor-sasongko-229085b4</t>
  </si>
  <si>
    <t>donkiemood@gmail.com</t>
  </si>
  <si>
    <t>deasy elsara from shopee</t>
  </si>
  <si>
    <t>never overseas before</t>
  </si>
  <si>
    <t>Excellence and Experience Manager</t>
  </si>
  <si>
    <t>Adama Pendeka Asamirga</t>
  </si>
  <si>
    <t>Head of Property Acquisition</t>
  </si>
  <si>
    <t xml:space="preserve">1. Develop the whole strategy for maintaining the quality and completion of the transitional stage  from ‘Site Construction’ into ‘Site Live’ at all Bobobox Branches
2. Develop the service strategy for Bobobox Customer Service Excellence by collaborating with all functional leaders and aligning in a constant manner with all Branch Operations team
3. Provide leadership and guidance for the Bobobox Branch Operations teams by inspiring  them with the Company’s vision, setting clear objectives, and motivating them  (including the Branch Operations leaders) to deliver the best levels of service to  both internal and external customers
4. Set target service levels for all Branches, ensure they are achieved, and  identify innovative ways to enhance current service levels to surprise and delight our customers
5. Manage the performance and development of the Branch Operations team by aligning and set some targets for the Branch Operations leaders
6.Monitor Branch Operations team’s KPIs and report regularly to relevant management teams regarding any risks or opportunities identified
7. Develop new initiatives to increase productivity, gain efficiencies, decrease customer friction, and enhance Bobobox’s NPS along with the CRM team
8. Partner with the Tech team to develop and integrate new technologies to improve all stages’ efficiency and customer experience
9.Work closely with the Branch Operations leaders to develop resource plans fit for business needs, training programs to improve quality of service, and process improvements to deliver strong results
10. Act as liaison for all Operations and Branch Operations team pertaining to the process of Site Construction into the Site Live stage
</t>
  </si>
  <si>
    <t>PT KOZY Manajemen</t>
  </si>
  <si>
    <t>www.linkedin.com/adamaasamirga2019</t>
  </si>
  <si>
    <t xml:space="preserve">1. Related working experience  as Project Management, Change Management Consultant Business Improvement  Manager or relevant experience related to Business Continuous Improvement
2. Experienced leader with a proven track record in dealing with ambiguity and strive for excellence
3. Visionary in service with passion for creating value and the ability to lead transformational change
4. Excellent relationship builder, actively listening to people needs, inspiring stakeholders to a new point of view for solving existing/immediate problems, and accommodating constructive feedback along the way
5. Hands-on problem solver and negotiator with an ability to take complex ideas and make them simple for customers through excellent communication
6.Creator of value to the customer and understand how to integrate new trends into a practical strategy
7. Successful and comfortable at interacting with all levels of the organization and across a cross-functional team with various viewpoints and background
8. You are a thought-provoker who can balance ideas with risk management
</t>
  </si>
  <si>
    <t>Bobobox</t>
  </si>
  <si>
    <t>Tech - Hospitality</t>
  </si>
  <si>
    <t>Bandung, Indonesia</t>
  </si>
  <si>
    <t>https://careers.bobobox.co.id/career/general/3-excellence-and-experience-manager</t>
  </si>
  <si>
    <t>adamirgadeka18@gmail.com</t>
  </si>
  <si>
    <t>Bintang Berlianti/manager of sales</t>
  </si>
  <si>
    <t>Elizabeth Teh</t>
  </si>
  <si>
    <t>Associate Account Manager</t>
  </si>
  <si>
    <t>https://www.linkedin.com/in/elizabethteh/</t>
  </si>
  <si>
    <t>elizabethteh93@gmail.com</t>
  </si>
  <si>
    <t>join@bobobox.co.id</t>
  </si>
  <si>
    <t>William Chan, Ex-Colleague @ Sojern</t>
  </si>
  <si>
    <t>Sneha Vellanki, Previous Ad Ops Lead @ Sojern and Current Ad Ops Manager @ LiftOff</t>
  </si>
  <si>
    <t>Co-workers have praised and recognized Liz for being an extremely proactive member of the team. She is known for being communicative and for thinking one step ahead to anticipate hurdles in the future. This has prevented numerous counts of miscommunication and helped identify gaps for training opportunities cross-functionally which Liz has taken ownership of and led. As such, she was nominated by me for the team’s top performer award for Q3 2019.</t>
  </si>
  <si>
    <t>Geraldine Soo</t>
  </si>
  <si>
    <t>Office Manager &amp; Recruiting Assisant</t>
  </si>
  <si>
    <t>https://www.linkedin.com/in/geraldine-soo</t>
  </si>
  <si>
    <t>Head of Legal</t>
  </si>
  <si>
    <r>
      <t xml:space="preserve">Bobobox is seeking a business-oriented Head of Legal with experience negotiating a range of commercial agreements to build our Legal team.
Based in Bandung, Jawa Barat, you will be responsible for supporting the commercial contracting needs of various Bobobox’s teams and for helping to build out our legal compliance process. You must be able to weigh the balance of business risk with the needs of the business, possess an excellent deal tactic along with negotiation skills and demonstrate an ability to manage pressures in a fast-paced working environment. Not only mature, but we also looking for very adaptable and collaborative individual who can thrive among ambiguity and rapidly shifting priorities with flexibility, patience, and calm upbringing.
</t>
    </r>
    <r>
      <rPr>
        <b/>
        <sz val="10"/>
        <rFont val="Arial"/>
      </rPr>
      <t xml:space="preserve">Responsibilities
</t>
    </r>
    <r>
      <rPr>
        <sz val="10"/>
        <color rgb="FF000000"/>
        <rFont val="Arial"/>
      </rPr>
      <t>1. Build, strategize, and execute legal &amp; compliance baseline for the whole Bobobox end to end business services and process (the whole group).
2. Serve as the commercial legal head for partnering with partnerships and revenue teams (and other teams) as necessary/needed;
3. Negotiate and draft agreements and generally help facilitate the sales process;
4. Work on legal risk mitigation strategies for Bobobox business products/services;
5.Manage, develop and coach junior members of the team
6. Implement compliance across the corporation</t>
    </r>
  </si>
  <si>
    <t>geraldine.sooyc@gmail.com</t>
  </si>
  <si>
    <r>
      <rPr>
        <b/>
        <sz val="10"/>
        <rFont val="Arial"/>
      </rPr>
      <t>Qualifications</t>
    </r>
    <r>
      <rPr>
        <sz val="10"/>
        <color rgb="FF000000"/>
        <rFont val="Arial"/>
      </rPr>
      <t xml:space="preserve">
1. Willing to work in Bandung, Jawa Barat, Indonesia
2. Minimum Bachelor's Degree in Accounting, Finance, Commerce &amp; Business Administration and a minimum of 10+ years of relevant working experience in Accounting and Finance
3. Experience Managerial level at a high-level tier Audit/Tax/Advisory Consulting firms (Big 4 are preferred) or at a multinational company
4. Having a CPA (Certified Public Accountant) license is preferred
5. Strong working knowledge of the hospitality industry, evolving product lines, and competitive landscape, as well as an interest in and passion for Bobobox’s mission
6. Excellent written and verbal communication skills (Bahasa and English)
7. Experience working with cross-functionally within organizations
8.People management experience is preferred, but not required
9.High level of integrity, professionalism, intellectual curiosity, sense of humor, and ability to work independently in people-focus culture
10. Strong leadership trait</t>
    </r>
  </si>
  <si>
    <t>Sojern colleagues</t>
  </si>
  <si>
    <t>Karen Chang, People Ops Manager</t>
  </si>
  <si>
    <t>Gera, I hope you are just as proud as I am, of the achievements that you have accomplished this year, on your own effort and merit.</t>
  </si>
  <si>
    <t>https://careers.bobobox.co.id/career/general/1-head-of-legal</t>
  </si>
  <si>
    <t>Wuttinat Wuttiprapai</t>
  </si>
  <si>
    <t>Head of Operations</t>
  </si>
  <si>
    <t xml:space="preserve">Red Otter Pte Ltd.  </t>
  </si>
  <si>
    <t>https://www.linkedin.com/in/wuttinat/</t>
  </si>
  <si>
    <t>wuttinat@gmail.com</t>
  </si>
  <si>
    <t>Ops, Exec team</t>
  </si>
  <si>
    <t>Found from my friend's feed on LinkedIn</t>
  </si>
  <si>
    <t>DP holder</t>
  </si>
  <si>
    <t>Sally Ng</t>
  </si>
  <si>
    <t>Regional Sales Director, North Asia</t>
  </si>
  <si>
    <t>https://www.linkedin.com/in/sallysally/</t>
  </si>
  <si>
    <t>sallysallysa@gmail.com</t>
  </si>
  <si>
    <t>Mark Rabe, CEO of Sojern</t>
  </si>
  <si>
    <t>Head of Accounting &amp; Finance</t>
  </si>
  <si>
    <t>Ayus Fatria</t>
  </si>
  <si>
    <t>Digital Imaging</t>
  </si>
  <si>
    <t>https://www.linkedin.com/in/ayus-fatria-329bb713a/</t>
  </si>
  <si>
    <r>
      <t xml:space="preserve">Head of Accounting &amp; Finance at Bobobox is responsible to effectively manage the corporate finance tasks for the organization, including accounting operations, internal controls and compliance, financial reporting, strategic analysis, and short and long-term financial planning.
</t>
    </r>
    <r>
      <rPr>
        <b/>
        <sz val="10"/>
        <rFont val="Arial"/>
      </rPr>
      <t xml:space="preserve">Responsibilities :
</t>
    </r>
    <r>
      <rPr>
        <sz val="10"/>
        <color rgb="FF000000"/>
        <rFont val="Arial"/>
      </rPr>
      <t>1. Lead accounting and reporting, audit management, budgeting and planning, cash planning, corporate treasury and tax functions of Bobobox
2. Establish, implement, and monitor appropriate internal controls to ensure conformance and compliance with applicable national GAAP, and the Company's financial accounting policies
3. Manage the month-end close process and accounting staff
4. Create forward-looking financial models to support strategic decision making
5. Analyze all aspects of financial performance and make recommendations for improvement Develop and manage the successful roll-out of company-wide budgeting and reporting tools Develop company-wide and department-specific financial management reports Manage all tax compliance
6. Working with other groups across the Company assesses enterprise risks for reasurement and tracking
7. Serve as a trusted advisor to the Executive level (CEO and President).</t>
    </r>
  </si>
  <si>
    <t>1.Willing to work in Bandung, Jawa Barat
2. Minimum Bachelor's Degree in Accounting, Finance, Commerce &amp; Business Administration and a minimum of 10+ years of relevant working experience in Accounting and Finance
3. Experience Managerial level at a high-level tier Audit/Tax/Advisory Consulting firms (Big 4 are preferred) or at a multinational company
4. Having a CPA (Certified Public Accountant) license is preferred
5. Strong working knowledge of the hospitality industry, evolving product lines, and competitive landscape, as well as an interest in and passion for Bobobox’s mission
6. Excellent written and verbal communication skills (Bahasa and English)
7. Experience working with cross-functionally within organizations
8. People management experience is preferred, but not required
9. High level of integrity, professionalism, intellectual curiosity, sense of humor, and ability to work independently in people-focus culture
10 .Strong leadership trait</t>
  </si>
  <si>
    <t>https://careers.bobobox.co.id/career/general/2-head-of-accounting-and-finance</t>
  </si>
  <si>
    <t>ayusfhatria@gmail.com</t>
  </si>
  <si>
    <t>Indah, Vendor Relationship @SweetEscape</t>
  </si>
  <si>
    <t>Kelvin Ng</t>
  </si>
  <si>
    <t>SWAT Mobility Pte. Ltd.</t>
  </si>
  <si>
    <t>https://www.linkedin.com/in/ngyilongkelvin/</t>
  </si>
  <si>
    <t>ngyilongkelvin@gmail.com</t>
  </si>
  <si>
    <t>Rachael DeFoe, Freelance Communications Consultant</t>
  </si>
  <si>
    <t>Nicholas Foo, Head of Business Development</t>
  </si>
  <si>
    <t>From the first day he joined the team, Kelvin was eager to get down to work. He is extremely task-driven and disciplined; it is these qualities that make him a strong project manager.Kelvin is clearly a top sales person. He is determined and gets results. He helped grow his sales Gross Merchandise Value (GMV) by 52% in 9 months. He also effectively managed a sales team to achieve these results.In his time at Grab, Kelvin has often volunteered for company-wide events and market-facing initiatives; this often came down to sacrificing his personal time. His enthusiasm has been appreciated by colleagues.</t>
  </si>
  <si>
    <t>Eligible to work in Singapore</t>
  </si>
  <si>
    <t>Aeyeong Lee</t>
  </si>
  <si>
    <t>Customer Success Associate Manager</t>
  </si>
  <si>
    <t xml:space="preserve">Sojern </t>
  </si>
  <si>
    <t>https://www.linkedin.com/in/aeyeong-lee-68740635/</t>
  </si>
  <si>
    <t>1. Own the strategy and execution for a Marketing and Revenue growth strategy;
2. Work with key stakeholders and internal departments to define both customer acquisition,room selling, customer retention objectives, and deadlines to ensure strategic imperatives and goals are met;
3. Develop quarterly plans, optimize operations, and drive business results; Work with Tech and Product teams to ensure that marketing technology (internal or third-party) meets the unique needs of the business;
4. Enhance the Marketing (Brand) team to create engaging marketing that is both effective and further affecting customer’s love for the Bobobox brand;
5.Use measurement, tracking, and management platforms to produce analytical insights and manage end-to-end Commercial department’s operations;
6. Provide thought leadership to help identify new opportunities and other emerging platforms;
7. Partner with other Leadership Team members to ensure alignment between business goals, resourcing, and budgets;
8.Engage with the Management to represent resource needs and performance for Commercial Department</t>
  </si>
  <si>
    <t>aeyeong.lee@gmail.com</t>
  </si>
  <si>
    <t>Marketing, BD and Partnerships, Product, HR, People, Talent</t>
  </si>
  <si>
    <t>1. Bachelor Degree in Mathematics, Engineering, Marketing, or MBA and/or proven of minimum 10 years of related experience;
2. 10+ years Marketing, Sales, and/or Product experience on a national or regional scale;
3.Experienced team leader;
4. A clear understanding of both owned and paid marketing best-practices (including email, referrals, push notification, SEM, and display marketing);
5. Experience with the highly quantitative and analytics-driven environment, working with complex datasets to understand performance and drive optimization strategies;
6. Demonstrated track record of managing a sizeable budget, driving financial performance, and attaining measurable results through projects with clear ROI;
7. Demonstrated success in driving complex projects within cross-functional teams including Marketing, Product, Brand, Sales/Revenue, CRM, and Tech;
8. Demonstrated strong business judgment and decision-making skills along with clear ability to identify, prioritize, and articulate highest impact initiatives.;
9. Maturity, roll-up sleeves mindset, and people development enthusiast</t>
  </si>
  <si>
    <t>Open to relocation (Korean nationality)</t>
  </si>
  <si>
    <t>William from Sojern</t>
  </si>
  <si>
    <t xml:space="preserve">I need EP sponsorship to work in SG. </t>
  </si>
  <si>
    <t>https://careers.bobobox.co.id/career/general/0-head-of-commercial</t>
  </si>
  <si>
    <t>Putra Rizkhy Ananda</t>
  </si>
  <si>
    <t>Business Development Officer</t>
  </si>
  <si>
    <t>https://id.linkedin.com/in/putra-rizkhy-ananda-9444994b</t>
  </si>
  <si>
    <t>putrarizkhy@gmail.com</t>
  </si>
  <si>
    <t>Andriy, Ex Head Marketing Jualo</t>
  </si>
  <si>
    <t>Ikhsani, Customer Support Jualo</t>
  </si>
  <si>
    <t>Boby Fernandes Tjandra</t>
  </si>
  <si>
    <t>Group Corporate Policy and Compliance Section Head</t>
  </si>
  <si>
    <t>PT. Media Nusantara Citra Tbk.</t>
  </si>
  <si>
    <t>fernandes_boby@yahoo.com</t>
  </si>
  <si>
    <t>Steven. Accenture.</t>
  </si>
  <si>
    <t>Jakaria Yusup Abdul Rauf</t>
  </si>
  <si>
    <t>Onboarding Executive</t>
  </si>
  <si>
    <t>https://www.linkedin.com/in/jakaria-yusuf-abdul-rauf-88381b138</t>
  </si>
  <si>
    <t>Recommender Systems (Product, Engineering)</t>
  </si>
  <si>
    <t>Architect and build an audio recommender system for podcasts and spoken word audio that is language agnostic</t>
  </si>
  <si>
    <t>Looking for engineers and product managers with experience building content recommender systems (eg, in video, music, articles)
Prefer experienced candidates but open to anyone ambitious and enthusiastic about solving a BIG problem in the audio space. 
Relevant companies include Netflix, YouTube, Spotify, Soundcloud, Google News, Bytedance</t>
  </si>
  <si>
    <t>raufarie@gmail.com</t>
  </si>
  <si>
    <t>Sammy Maramis, Lead Onboarding Executive @ Zuzu Hospitality Solutions.</t>
  </si>
  <si>
    <t>Amierul Nasir</t>
  </si>
  <si>
    <t>Talent Acquisition Executive</t>
  </si>
  <si>
    <t>Dahmakan</t>
  </si>
  <si>
    <t>http://www.linkedin.com/in/amierulnasir</t>
  </si>
  <si>
    <t>Entertainment and Education</t>
  </si>
  <si>
    <t>Ho Chi Minh City, Vietnam
Jakarta, Indonesia</t>
  </si>
  <si>
    <t>Android: https://play.google.com/store/apps/details?id=com.waves8.app
Apple: https://apps.apple.com/gb/app/waves-podcast-player/id1492378044</t>
  </si>
  <si>
    <t>amierulnasir@gmail.com</t>
  </si>
  <si>
    <t>Faeez, CEO @ Tripfez</t>
  </si>
  <si>
    <t>1. Tarsha Devan - TA Executive. 2. Vino Gowan - HR Manager</t>
  </si>
  <si>
    <t xml:space="preserve">Kristiana puspasari </t>
  </si>
  <si>
    <t>kevin@waves8.com</t>
  </si>
  <si>
    <t xml:space="preserve">Senior merchandiser </t>
  </si>
  <si>
    <t xml:space="preserve">MGF sourcing </t>
  </si>
  <si>
    <t>N4n4n1@gmail.com</t>
  </si>
  <si>
    <t>Mtiurma@mgfsourcing.com</t>
  </si>
  <si>
    <t>Sherilyn Tang</t>
  </si>
  <si>
    <t>Creative Specialist</t>
  </si>
  <si>
    <t>Lead Strategic Designer</t>
  </si>
  <si>
    <t xml:space="preserve">Conduct quantitative research investigations that help strategically frame, validate or challenge other forms of research
Design and facilitate immersion sessions with multi-disciplinary client teams
Align with technologists and business stakeholders to understand business and operating models, as well as the systems and capabilities needed to deliver products and services
Contribute to the shaping and growth of a localized strategic design team through referrals and participating in external events where strategic candidates may be sourced by BCGDV recruiting
</t>
  </si>
  <si>
    <t>https://www.linkedin.cohttps://www.linkedin.com/in/sherilyn-tang-164589a4/m/in/sherilyn-tang-164589a4/</t>
  </si>
  <si>
    <t>Significant track record shaping real-to-world user experiences and delivering tangible products to market, with at least 5 years leading creative projects to successful completion
An outstanding portfolio of work demonstrating strong human-centered design capabilities across a diverse range of projects
Experience leading ethnographic research (quantitative and qualitative), divergent exploration, conceptual development and industrial design</t>
  </si>
  <si>
    <t>sheri.kristine@gmail.com</t>
  </si>
  <si>
    <t>BCG Digital Ventures</t>
  </si>
  <si>
    <t>Hengs, People Operation Executive @99.co</t>
  </si>
  <si>
    <t>Internet/Corporate Venture Building</t>
  </si>
  <si>
    <t>Mohammad Zafri Hazim bin Jeffri</t>
  </si>
  <si>
    <t>Senior Analyst, Corporate Strategy</t>
  </si>
  <si>
    <t>Big Bad Wolf Books Sdn Bhd</t>
  </si>
  <si>
    <t>https://www.linkedin.com/in/zafri-jeffri-9716139b/</t>
  </si>
  <si>
    <t>zafri.jeffri@gmail.com</t>
  </si>
  <si>
    <t>Finance, Data and analytics, Exec team</t>
  </si>
  <si>
    <t>Khalid, a university friend.</t>
  </si>
  <si>
    <t>Nicholas Ng, Head of Corporate Strategy</t>
  </si>
  <si>
    <t>Strong modelling and analysis abilities supported by excel proficiency; critical thinker; opinionated and outspoken.</t>
  </si>
  <si>
    <t>Malaysian Citizen, need a sponsor</t>
  </si>
  <si>
    <t>Azka Zakiah</t>
  </si>
  <si>
    <t>Zuzu Hospitality</t>
  </si>
  <si>
    <t>azkazakiah@gmail.com</t>
  </si>
  <si>
    <t>Sammy Maramis, Onboarding Leader @ Zuzu Hospitality</t>
  </si>
  <si>
    <t>Rizky Mukti &amp; Sammy Maramis as Onboarding Leader</t>
  </si>
  <si>
    <t xml:space="preserve">Rizky and Sammy is my favorite leaders because he has strong understanding of Onboarding department, they always support me, giving me best solution for any issues. </t>
  </si>
  <si>
    <t>Danies olivia</t>
  </si>
  <si>
    <t>Apply direct via URL</t>
  </si>
  <si>
    <t>On boarding executife</t>
  </si>
  <si>
    <t>Danies Olivia</t>
  </si>
  <si>
    <t>Danies.efendi@gmail.com</t>
  </si>
  <si>
    <t>Sammy maramis lead onboarding @zuzu hospitality</t>
  </si>
  <si>
    <t xml:space="preserve">Rizky my favorite leaders because he very cares and responsible. </t>
  </si>
  <si>
    <t>Woo Wuen Nee</t>
  </si>
  <si>
    <t>linkedin.com/in/wuennee</t>
  </si>
  <si>
    <t xml:space="preserve">Lead Experience Designer </t>
  </si>
  <si>
    <t>Create unique products and services as well as relevant solutions together with your team to engage users with valuable experiences
Lead small to medium size (design) teams and ensure quality of output
Steer and plan (design) tasks, also including project budgeting as well as controlling</t>
  </si>
  <si>
    <t>Several years of relevant experience in designing user experiences and building products; experience in a startup, tech company and agile environment is a plus
Experience and understanding of different platforms as well as responsive web design
Strong understanding of business models and economics</t>
  </si>
  <si>
    <t>wwn.2909@gmail.com</t>
  </si>
  <si>
    <t>Lina Goh - Analyst Team Lead</t>
  </si>
  <si>
    <t xml:space="preserve">Wuen Nee has proven herself to be a fast learner with strong analytical skills. In a short span of time, she was able to comprehend the complicated concepts required for the operational aspects of the SMB business function, and provide optimizations for revenue growth and margin reductions. </t>
  </si>
  <si>
    <t>Angga Amukti praja</t>
  </si>
  <si>
    <t>Senior Photographer &amp; Videographer</t>
  </si>
  <si>
    <t>PT. Prisma DIgital Media</t>
  </si>
  <si>
    <t>Angga Amukti Praja</t>
  </si>
  <si>
    <t>anggaamukti@gmail.com</t>
  </si>
  <si>
    <t>Dondi Hananto</t>
  </si>
  <si>
    <t>Rio Praditya ( Director )</t>
  </si>
  <si>
    <t>Cahyo Mukti ( Designer )</t>
  </si>
  <si>
    <t>Priska Hapsari Widayani</t>
  </si>
  <si>
    <t>Sales and Marketing Coordinator</t>
  </si>
  <si>
    <t xml:space="preserve">PT Adya Eduka Dinamika (EF) </t>
  </si>
  <si>
    <t>linkedin.com/priska.hapsari</t>
  </si>
  <si>
    <t>Senior Venture Architect</t>
  </si>
  <si>
    <t>They wear many hats and must develop the marketing, pricing and operational structures needed to commercialize new products and businesses. They manage ventures from beginning to end
Demonstrate leadership across all stages of the BCG Digital Ventures business model, including innovation, product development, incubation and commercialization</t>
  </si>
  <si>
    <t>4-7+ years experience with strategy development, business planning and future visioning, as well as quantitative and economic modelling (preferred)
Design or product development expertise
A background in product prototyping and testing</t>
  </si>
  <si>
    <t xml:space="preserve">priskahapsariw@gmail.com </t>
  </si>
  <si>
    <t>Clarissa Tania, Content, PT Kawan Lama</t>
  </si>
  <si>
    <t>Christina, sales and marketing coordinator</t>
  </si>
  <si>
    <t>Priska is independent  and  self-motivated  person  with  proven  and  tested teamwork,  sales  and  marketing  skills.</t>
  </si>
  <si>
    <t>Mohammed Afsar Ali</t>
  </si>
  <si>
    <t>Senior QA Automation Engineer</t>
  </si>
  <si>
    <t>https://www.linkedin.com/in/afsar-ali-3465a556/</t>
  </si>
  <si>
    <t>mdafsar.ali273@gmail.com</t>
  </si>
  <si>
    <t>Engineering, Product, Finance</t>
  </si>
  <si>
    <t>Ping Manager @HOOQ</t>
  </si>
  <si>
    <t>Need EP</t>
  </si>
  <si>
    <t>Chee Beng Ou</t>
  </si>
  <si>
    <t>Head of Logistics</t>
  </si>
  <si>
    <t>EBlinq Fashion (M) Sdn Bhd</t>
  </si>
  <si>
    <t>https://www.linkedin.com/in/chee-beng-ou-68279111b/</t>
  </si>
  <si>
    <t>Act as the voice of the customer in the definition of innovative digital solutions
Work with strategic design to gain an understanding of user personas, pain points and journeys
Provide insights into product, technology and market trends
Develop feature lists, user stories, and roadmaps
Gather and manage product feedback through surveys, concept testing, analytics tools, and A/B testing
Be a champion of the MVP concept, distilling the product down to what is desirable, viable and feasible</t>
  </si>
  <si>
    <t>5 years experience as a Product Manager
A Bachelor’s degree from an accredited educational institution in a technical discipline (ex: Computer Science, Electrical Engineering)
Strong understanding of mobile and web technologies and industries</t>
  </si>
  <si>
    <t>oucb17@gmail.com</t>
  </si>
  <si>
    <t>Chris Wong, CFO@EblinQ Fashion</t>
  </si>
  <si>
    <t>Bob Chua, CEO@Eblinq.Fashion</t>
  </si>
  <si>
    <t>Kim Than</t>
  </si>
  <si>
    <t>Global Account Executive</t>
  </si>
  <si>
    <t>https://www.linkedin.com/in/kim-than-a6621087/</t>
  </si>
  <si>
    <t>kimthan@live.fr</t>
  </si>
  <si>
    <t>As a senior software engineer at BCG DV, you will be a valued member and mentor to a multi-skilled venture team, building disruptive and innovative products and businesses from scratch, across multiple industries. We operate in a truly agile fashion, so you will get to deliver working software to customers daily and learn from the results. You will bring your experience and skill to bear on the multitude of new and exciting challenges that appear when trying to bring a new product or business to market. 
You will:
- Grow innovative, groundbreaking products and business that address real customer frictions
- Learn how to found, grow and operate successful startups
- Design and architect innovative, modern architectures
- Lead the technical development for large areas of a product
- Support and mentor junior engineers</t>
  </si>
  <si>
    <t>Jan Brugelmann - Head of Sales</t>
  </si>
  <si>
    <t>- Hands-on development and delivery experience with a broad mix of languages and technologies
- 5+ years of work experience in software development, having managed a team of 2-5 engineers
- Real passion for solving customer frictions through simple and effective software
- Strong people skills that contribute to an open and collaborative environment
- Experience working with Agile, Lean and Continuous Delivery approaches, such as Continuous Integration, TDD, Infrastructure as Code etc.
- Experience in communicating ideas and decisions to a variety of team members
- Experience building cloud native software architectures
- An ability to embrace and reduce uncertainty through continual validated learning
- Building great software at web scale requires a multidisciplinary approach to engineering. It is far more important to be able to reason intelligently about complex problems, and apply experience to new domains than it is to know specifics about the newest technology buzzword. 
Below are the technologies we primarily use for back end development. However, we'll always choose the best tool for the job (maybe you can suggest one?), so don't consider this list either exhaustive or immutable: 
Languages / Frameworks
Front End: HTML5, CSS3, SASS, React, Redux, Progressive Web Applications
Back End: Ruby/Rails, Go, Python, JavaScript
Infrastructure
Docker, Kubernetes, Amazon Web Services, AWS Lambda</t>
  </si>
  <si>
    <t>Required For Singapore</t>
  </si>
  <si>
    <t>Ariel Iskandar</t>
  </si>
  <si>
    <t>Business Development Lead</t>
  </si>
  <si>
    <t>ReCharge Indonesia</t>
  </si>
  <si>
    <t>https://www.linkedin.com/in/ariel-iskandar/</t>
  </si>
  <si>
    <t>arielisk@hotmail.com</t>
  </si>
  <si>
    <t>Edward Listijono, ReCharge Indonesia's CEO</t>
  </si>
  <si>
    <t>Firdha Yuninda Senior Account Executive at ReCharge</t>
  </si>
  <si>
    <t>Business Development and Operations Executive</t>
  </si>
  <si>
    <t>https://www.linkedin.com/in/jadeyeo/</t>
  </si>
  <si>
    <t xml:space="preserve">As a software engineer at BCG DV, you will be a valued member and mentor to a multi-skilled venture team, building disruptive and innovative products and businesses from scratch, across multiple industries. We operate in a truly agile fashion, so you will get to deliver working software to customers daily and learn from the results. You will bring your experience and skill to bear on the multitude of new and exciting challenges that appear when trying to bring a new product or business to market. 
You will:
- Learn how to found, grow and operate successful startups
- Learn new technologies and frameworks regularly, as part of the job
- Gain diverse experience working across industry verticals and product use cases </t>
  </si>
  <si>
    <t>-Hands-on development and delivery experience with a broad mix of languages and technologies
-Real passion for solving customer frictions through simple and effective software
-Strong people skills that contribute to an open and collaborative environment
-Experience working with Agile, Lean and Continuous Delivery approaches, such as Continuous Integration, TDD, Infrastructure as Code etc.
-Experience in communicating ideas and decisions to a variety of team members
-Experience building cloud native software architectures
-An ability to embrace and reduce uncertainty through continual validated learning
-Building great software at web scale requires a multidisciplinary approach to engineering. It is far more important to be able to reason intelligently about complex problems, and apply experience to new domains than it is to know specifics about the newest technology buzzword</t>
  </si>
  <si>
    <t>Hengs, People Ops Executive @ 99.co</t>
  </si>
  <si>
    <t>Abu Hanifah</t>
  </si>
  <si>
    <t>Network Infrastructure</t>
  </si>
  <si>
    <t>PT TRISINAR INDOPRATAMA</t>
  </si>
  <si>
    <t>https://www.linkedin.com/mwlite/in/abu-hanifah</t>
  </si>
  <si>
    <t>surel@hanivinside.net</t>
  </si>
  <si>
    <t xml:space="preserve"> -</t>
  </si>
  <si>
    <t>Vania Fitriana Putri</t>
  </si>
  <si>
    <t>Content Reviewer</t>
  </si>
  <si>
    <t>IT. Business Solution Sdn. Bhd</t>
  </si>
  <si>
    <t>https://www.linkedin.com/in/vania-fitriana-putri-b21011b8/</t>
  </si>
  <si>
    <t>1. Design and develop the application system using PHP
2. Maintain and adjust existing application
3. Research on latest open source technologies
4. Handle big data,
5. Fixing and testing bugs
6. Analyze &amp; implement new features in platform with highest quality possible.
7. Provide technical advices that may needed to improve platform feature.
8. Execute company best practice, methodologies, code convention, and policies</t>
  </si>
  <si>
    <t>1. Must possess at least a Bachelor's Degree in computer science
2. Must have a basic technical knowledge of Web Programming and have strong OOP experience with PHP.
3. Must be familiar website technology update and have knowledge in programming languages and environments including CSS, HTML, XML, and Json (understanding CI, Java Script, AJAX, JQuery).
4. Knowledge about application scaling (scalability, high availability, performance, manageability, low cost, etc)
5. Excellent knowledge of MySQL
6. Having technical knowledge of Source Code Management Revision Control such as Git.
7. Preferably having 4 years minimum of working experience in similar position. 
8. Adaptable and good skill communication
9. Able to work with team and individually
10. Strong analytical and planning skills;
11. Good communication
12. Excellent problem-solving skills.</t>
  </si>
  <si>
    <t>Main Games Indonesia</t>
  </si>
  <si>
    <t>vaniafitrianaputri@gmail.com</t>
  </si>
  <si>
    <t>Games and Media</t>
  </si>
  <si>
    <t>Fahmi</t>
  </si>
  <si>
    <t>Amina Stewart (Team Leader)</t>
  </si>
  <si>
    <t>Media: https://jalantikus.com/   Games: https://maingames.com/</t>
  </si>
  <si>
    <t>Employee Visa</t>
  </si>
  <si>
    <t>Christy Christy</t>
  </si>
  <si>
    <t>Visual Communication Designer</t>
  </si>
  <si>
    <t>https://www.linkedin.com/mwlite/in/christy-c-39568366</t>
  </si>
  <si>
    <t>fenny.hartono@maingames.com</t>
  </si>
  <si>
    <t>imchristytan@gmail.com</t>
  </si>
  <si>
    <t>Oktria Kawengian</t>
  </si>
  <si>
    <t>Senior Human Resource</t>
  </si>
  <si>
    <t>Digital community social media manager</t>
  </si>
  <si>
    <t>1. Design and implement overall recruiting strategy;
2. Prepare recruitment materials and post jobs to appropriate job board/newspapers/colleges, etc;
3. Source and recruit candidates by using job portal, databases, social media, etc;
4. Conduct interviews using various reliable recruiting and selection tools/methods to filter candidates within schedule;
5. Assess applicants’ relevant knowledge, skills, soft skills, experience and aptitudes;
6. Onboard new employees in order to become fully integrated;
7. Monitor and apply HR recruiting best practices;
8. Provide analytical and well documented recruiting reports to the rest of the team;
9. Act as a point of contact and build influential candidate relationships during the selection process;
10. Manages the day-to-day operations of the Human Resource office;
11. Maintains employee-related databases. Prepares and analyzes reports that are necessary to carry out the functions of the department and company. Prepares periodic reports for management, as necessary or requested;
12. Fully utilizes Human Resources software to the company's advantage (absence, annual leave, medical claim and register new employee);
13. Advises managers and supervisors about the steps in the progressive discipline system of the company. Counsels managers on employment issues.</t>
  </si>
  <si>
    <t>Octriaichigo.2004@gmail.com</t>
  </si>
  <si>
    <t>1. Minimum Bachelor Degree majoring in Psychology, Human Resource Management or equivalent;
2. Minimum 7 years experience in related field (experience as tech recruiter will be advantage);
3. Maximum 32 years old;
4. Fluent in english is a must;
5. Passionate in tech and people;
6. Meticulous with data and administrative task;
7. Strong analytical and planning skills;
8. Good communication and presentation skills;
9. Excellent problem-solving skills;
10. Able to work under pressure in fast pace environment.</t>
  </si>
  <si>
    <t>Veriyanta.kusuma@traveloka.com</t>
  </si>
  <si>
    <t>Mahwari.Tama@traveloka.com - Community Social Media Leads Manager</t>
  </si>
  <si>
    <t>Tama is the giod leader because he has a strong passion and understanding of social media business, and channel in community. He also has good skill in a group and he is Magister of Creative Business and he most favorite in office</t>
  </si>
  <si>
    <t>Yumin Jiang Judy</t>
  </si>
  <si>
    <t>AI Solution Lead | Global Business Development</t>
  </si>
  <si>
    <t>ABEJA</t>
  </si>
  <si>
    <t>https://www.linkedin.com/in/yuminjiang/</t>
  </si>
  <si>
    <t>judyjym@gmail.com</t>
  </si>
  <si>
    <t>Singapore, US</t>
  </si>
  <si>
    <t>Elvin's post</t>
  </si>
  <si>
    <t xml:space="preserve">Naoki Tonogi, CEO of ABEJA Singapore </t>
  </si>
  <si>
    <t>Senior Digital Advertising Sales</t>
  </si>
  <si>
    <t xml:space="preserve">Yumin is your go-to person if you are looking for someone who is passionate, driven and especially customer eccentric. </t>
  </si>
  <si>
    <t>1. Achieve the advertisement sales target as set by the management
2. Identify and acquire new clients (MUST), develop target client list and client database
3. Build strong relationship with clients and give recommendations appropriate to their products.
4. Manage the sales process : developing proposals, making presentations, reviewing feedbacks, understanding clients needs and deliver excellent services.
5. Develop good relationship with advertising or media agency</t>
  </si>
  <si>
    <t>1. Minimum 5 years experience as Advertising Account Officer or Digital Media Sales with proven track record
2. Candidate must possess at least a Bachelor's Degree, Advertising/Media, Economics, Mass Communications, Marketing or equivalent.
3. Fluent in english both oral and written
4. Have an excellent negotiation skills
5. Have an excellent communication to persue people
6. Have a good relationship with Advertising Agencies and possess a wide network
7. Must be a team player and be a able to adopt to our company culture
8. Must be self motivated, able to work in team with minimal supervision and target oriented
9. Excellent inter-personal skills, pleasant personality and able to take initiative</t>
  </si>
  <si>
    <t>Khue Minh Le</t>
  </si>
  <si>
    <t>Backend Software Engineer</t>
  </si>
  <si>
    <t>https://www.linkedin.com/in/minhkhuele/</t>
  </si>
  <si>
    <t>lmk19922000@gmail.com</t>
  </si>
  <si>
    <t>1. Doing Data Selection &amp; Preparartion and Data Analysis using different data mining method such as clustering, classification, regression, association rules, etc
2. Create analytics report based on findings
3. Keep pace with Analytics, technology, and marketing industry trends
4. Supported enhancement in Applied Statistics and Mathematics
5. Expossure to the latest trend and technology</t>
  </si>
  <si>
    <t>1. Candidate must possess at least a Bachelor's Degree in Mathematics, Statistic with GPA minimum 3.00.
2. Maximum age 30 years old
3. Minimum 3 years experience as data analyst  (in statistical project will be advantage)
4. Having ability in R, Python, or Matlab
5. Good skill and knowledge of using statistical analysis menthods such as clustering, regression, and classification
6. Has knowledge of statistic and modeling
7. Possess logical thinking, data sensitive, highly curious and good attention to detail
8. Able to interpret the data into useful insights
9. Adaptable with dynamic work environment</t>
  </si>
  <si>
    <t>Fitra Kurniati</t>
  </si>
  <si>
    <t>Product Manager - Payment</t>
  </si>
  <si>
    <t>https:/www.linkedin.com/in/fitra-kurniati-699b0615/</t>
  </si>
  <si>
    <t>fitra.kurniati@gmail.com</t>
  </si>
  <si>
    <t>linkedin feed</t>
  </si>
  <si>
    <t>Willy Sakareza - Senior Product Manager Payment @ Traveloka. Marysa Iskandar - VP Core Cards @ Citi Indonesia.</t>
  </si>
  <si>
    <t>for any roles outside of Indonesia</t>
  </si>
  <si>
    <t>Emylia Anwar</t>
  </si>
  <si>
    <t>POPLOOK Sdn Bhd</t>
  </si>
  <si>
    <t>https://www.linkedin.com/in/emyliaanwar/</t>
  </si>
  <si>
    <t>Content Editor (Digital Media)</t>
  </si>
  <si>
    <t>1. Edit, Proofread and QC Writers's articles before it published on web: 6-8 articles/day (SEO and non-SEO content).
2. Put at least 10-15 ideas to write at Bank Ide: Mostly put an catchy, gadget, movies, SEO keywords, and educating and entertaining themed ideas.
3. Pay attention to Google Trends. If something went breakout on Google Trends, editor will ask writers to write about it.
4. Give writers revision on his/her writings.
5. Analyze the traffic and find the new strategy for next week. Editor will analyze what content should we make more often and the one we should stop.
6. Analyze how often JT's articles shown up on news aggregator and what kind of articles which crawled by them.
7. Communicate with SEO team for new campaign.
8. Write advertorial/PR articles.
9. Supervising the writers
10. Teaching and guiding new writer.</t>
  </si>
  <si>
    <t>1. Having at least 3 years experience of working as Content Writer or 2 years experience as Content Editor at digital media
2. Candidate must possess at least a Bachelor's Degree, Advertising/Media, Mass Communications, Linguistic or equivalent.
3. Very good at proofreading and editing based on KBBI and PUEBI.
4. Having broad knowledge on technology, games, gadgets and films related.
5. Having strong abilities on editing and writing SEO articles.
6. Able to use Photoshop or Adobe Illustrator is a Plus.
7. Able to use Google Analytics is a plus.</t>
  </si>
  <si>
    <t>emylia.anwar@gmail.com</t>
  </si>
  <si>
    <t>Ganesh</t>
  </si>
  <si>
    <t>Eugene Chua, Executive Head, Global Digital Marketing</t>
  </si>
  <si>
    <t xml:space="preserve">Few people have the opportunity to report to a manager who is also an excellent coach and mentor. I had the pleasure of working with Emylia for a year at RinggitPlus as the Digital Marketing manager there.  I was very impressed by the depth of her marketing knowledge, her keen attention to detail (despite the fact that she had an enormous portfolio to manage) and her ability to pick new things up very quickly. Most importantly, Emylia was an excellent manager, mentor and has played a big role in developing my career. </t>
  </si>
  <si>
    <t>Need Visa</t>
  </si>
  <si>
    <t>Tan Chai Yin</t>
  </si>
  <si>
    <t xml:space="preserve">Head of Operations </t>
  </si>
  <si>
    <t>Kind Kones (Raisin the Roof Sdn Bhd)</t>
  </si>
  <si>
    <t>https://www.linkedin.com/in/chai-yin-t-9bb46244/</t>
  </si>
  <si>
    <t>cytan1231@gmail.com</t>
  </si>
  <si>
    <t>Sales, BD and Partnerships, Ops, Data and analytics, HR, People, Talent</t>
  </si>
  <si>
    <t xml:space="preserve">•	Support the entire application lifecycle (concept, design, test, release and support)
•	Produce fully functional mobile applications writing clean code
•	Gather requirements and provide options and  solutions
•	Design interfaces to improve user experience
•	Develop, test features and performance
•	Troubleshoot and debug to optimize performance
•	Ensure new and legacy applications meet quality standards
•	Follow and confirm to development, implementation and deployment standard and best practices
•	Research and suggest new mobile products, applications and protocols.
•	Stay up-to-date with new technology trends
</t>
  </si>
  <si>
    <t>Jaclyn Lee @ Head of Marketing, Kind Kones Pte Ltd</t>
  </si>
  <si>
    <t>•        Minimum of three (3) years of progressively more complex experience designing, developing, and debugging web/mobile software applications
•        Extensive knowledge about mobile app development.
•        Deep knowledge of iOS and Android platforms preferred
•        Understanding mobile app design guidelines on each platform and being aware of their differences
•        Experience with cross platform development like Flutter, React Native is preferred
•        Familiarity with RESTful APIs and mobile libraries for networking
•        Experience with C#, JavaScript, HTML5, CSS, Angular, and Bootstrap is a plus
•        Excellent problem solving and critical thinking skills
•        Experience with profiling and debugging mobile applications
•        Collaborative team player that can also take instructions and Initiative to complete tasks with little to no follow-on guidance
•        Ability to prioritize tasks to meet deadlines
•        Experience with scrum teams, to include UI/UX and QC and multiple developer collaboration (nice to have)</t>
  </si>
  <si>
    <t>Malaysian</t>
  </si>
  <si>
    <t>Smart Tradzt Sdn Bhd</t>
  </si>
  <si>
    <t>Computer/ Information Technology (Software)</t>
  </si>
  <si>
    <t>Jaclyn Lee</t>
  </si>
  <si>
    <t>Head, Marketing, Strategic Communications &amp; Regional Expansion</t>
  </si>
  <si>
    <t>Kind Kones</t>
  </si>
  <si>
    <t>https://www.linkedin.com/in/leejaclyn/</t>
  </si>
  <si>
    <t>https://www.smarttradzt.com/</t>
  </si>
  <si>
    <t>jaclynnerissa@gmail.com</t>
  </si>
  <si>
    <t>Marketing, BD and Partnerships, Ops, Exec team, HR, People, Talent</t>
  </si>
  <si>
    <t>Steven eddowar</t>
  </si>
  <si>
    <t>PT. Rightledger indonesia</t>
  </si>
  <si>
    <t>Check out Steven Eddowar’s profile on LinkedIn https://www.linkedin.com/in/steven-eddowar-a2165b150</t>
  </si>
  <si>
    <t>steven.op2015@gmail.com</t>
  </si>
  <si>
    <t>media</t>
  </si>
  <si>
    <t>Siti Nur Fathiah Binti Shuid</t>
  </si>
  <si>
    <t>Senior Associate System and Business Support</t>
  </si>
  <si>
    <t>ann.lim@acceval-intl.com</t>
  </si>
  <si>
    <t>Kenanga Investors Berhad</t>
  </si>
  <si>
    <t>https://www.linkedin.com/in/fatihah-shuid-286b1058/</t>
  </si>
  <si>
    <t>fathiahshuid@gmail.com</t>
  </si>
  <si>
    <t xml:space="preserve">Anney Kang @ Operational Risk Management Kenanga Investor Berhad  </t>
  </si>
  <si>
    <t>•        Development of enterprise platform using preferably Hyperledger for private permissioned blockchain system</t>
  </si>
  <si>
    <t>Ferry Adi Wijayanto</t>
  </si>
  <si>
    <t>iOS</t>
  </si>
  <si>
    <t>https://www.linkedin.com/in/ferry-adi-wijayanto-97599465/</t>
  </si>
  <si>
    <t>•        Minimum 2 years’ blockchain development experience 
•        Desired experience : end to end product development lifecycle
•        Desired profile 
         o        Fast Learner
         o        Good analytical and programming skills
         o        Meticulous
         o        Proactive in work and picking up new skills
         o        Reliable in delivering assignment
         o        Proficient in English
•        Preferably able to work in Kuala Lumpur, Malaysia</t>
  </si>
  <si>
    <t>ferry.adiwijayanto@gmail.com</t>
  </si>
  <si>
    <t>Noorman Arta Wicaksono, Product Manager</t>
  </si>
  <si>
    <t>Shanne Choong</t>
  </si>
  <si>
    <t xml:space="preserve">Fashion Buyer (E-commerce) </t>
  </si>
  <si>
    <t>choishan88@gmail.com</t>
  </si>
  <si>
    <t>Marketing, Sales, Product, Ops, Design</t>
  </si>
  <si>
    <t>Christopher Wong, CEO @ EBlinq</t>
  </si>
  <si>
    <t>Jonathen Chan</t>
  </si>
  <si>
    <t>Senior Manager, Strategic Business Development</t>
  </si>
  <si>
    <t>Certis Cisco</t>
  </si>
  <si>
    <t>www.linkedin.com/in/ jonathen-chan</t>
  </si>
  <si>
    <t>jonathen.chan@me.com</t>
  </si>
  <si>
    <t>Rachel Defoe</t>
  </si>
  <si>
    <t>Akshay Khanna</t>
  </si>
  <si>
    <t>Investment Analyst</t>
  </si>
  <si>
    <t>Quadrature Capital</t>
  </si>
  <si>
    <t>https://www.linkedin.com/in/akshay1301/</t>
  </si>
  <si>
    <t>Akshayk.2016@business.smu.edu.sg</t>
  </si>
  <si>
    <t>Product, Finance</t>
  </si>
  <si>
    <t>Peter Cheng, Founder @ StarLuxe Management</t>
  </si>
  <si>
    <t>Blockchain Lead</t>
  </si>
  <si>
    <t xml:space="preserve">•        Design and Development of enterprise platform using Hyperledger for private permissioned blockchain system </t>
  </si>
  <si>
    <t>Vhyshnawi Vengiddappa Raju</t>
  </si>
  <si>
    <t>Senior Influencer Marketing Exec</t>
  </si>
  <si>
    <t>dahmakan</t>
  </si>
  <si>
    <t xml:space="preserve">•        Minimum 3 years’ blockchain experience 
•        Experience leading a team of blockchain developers
•        Experience in end to end product development lifecycle
•        Technical Full Stack ability 
•        Desired Experience (although not mandatory)
         o        Supply chain (eg shipment with BL) and trade finance (e.g. LC) for cross border trade
         o        Product traceability (provenance)
         o        Smart Contract
•        Experience deploying Hyperledger in AWS or Azure 
•        PS: No functional or business process knowledge is required as this will be provided by the hiring company (i.e. business process design is completed. Just need to blockchain enable the application)
</t>
  </si>
  <si>
    <t>https://www.linkedin.com/in/vhyshnawi/</t>
  </si>
  <si>
    <t>vhyshnawi@gmail.com</t>
  </si>
  <si>
    <t>Sharad Harjai, VP Marketing @ dahmakan</t>
  </si>
  <si>
    <t>Kimberly Lah, Senior Manager Influencer Marketing</t>
  </si>
  <si>
    <t>I'm Malaysian and would need a Visa</t>
  </si>
  <si>
    <t>Ajay Mall</t>
  </si>
  <si>
    <t>Principle Architect</t>
  </si>
  <si>
    <t>Market Pulse</t>
  </si>
  <si>
    <t>https://www.linkedin.com/in/ajay-mall-282566a/</t>
  </si>
  <si>
    <t>ajay.mallajay@gmail.com</t>
  </si>
  <si>
    <t>Front End UI/UX Developer</t>
  </si>
  <si>
    <t xml:space="preserve">•	Develop and customise user interface and enhance user experience using HTML, CSS, JavaScrip, Angular 2 and other Front-End framework in supported browser
•	Work in multidisciplinary team with other team members such as back-end developers, web designer, architects to enhance product and implement projects
•	Optimize our applications for optimized performance
•	Implementing responsive design for mobile sites
•	Involve in other technical areas such as working in back-end, integration and mobile development etc, if required.
•	Learn domain / functional knowledge, develop documentation, bug fixing and testing
</t>
  </si>
  <si>
    <t xml:space="preserve">•	Minimum 3 years of experience in a relevant role
•	Technical Knowledge
   o	   HTML5, CSS3, Javascript (ES6), JQuery
   o	   Front End Frameworks : Angular2, Bootstrap
   o	   CSS pre-processing : LESS and SASS
   o	   Familiar on Git technology and GitHub
   o	   Photoshop and Illustrator
   o	   Understanding of UX best practice is a plus
</t>
  </si>
  <si>
    <t>Elysia Tiun</t>
  </si>
  <si>
    <t>Regional Account Executive</t>
  </si>
  <si>
    <t>Perx Technologies</t>
  </si>
  <si>
    <t>https://www.linkedin.com/in/elysiatiun</t>
  </si>
  <si>
    <t>elysia.tiun@gmail.com</t>
  </si>
  <si>
    <t>Uniroach Whatsapp Group</t>
  </si>
  <si>
    <t>Rashmi Bhargava, Director of Pre-sales and Technical</t>
  </si>
  <si>
    <t>Require visa sponsorship</t>
  </si>
  <si>
    <t>SoYeon Ham</t>
  </si>
  <si>
    <t>Business Developer</t>
  </si>
  <si>
    <t>Watcha</t>
  </si>
  <si>
    <t>www.linkedin.com/in/soyeonham</t>
  </si>
  <si>
    <t>sham1@binghamton.edu</t>
  </si>
  <si>
    <t>Korea</t>
  </si>
  <si>
    <t>Marta Allina, CEO @ Seoul Startups</t>
  </si>
  <si>
    <t>"SoYeon is my secret weapon." "SoYeon was born to be a BD." "SoYeon is a goal getter."</t>
  </si>
  <si>
    <t>Amranjit Singh Datt</t>
  </si>
  <si>
    <t>Cermati.com</t>
  </si>
  <si>
    <t>Java Software Developer</t>
  </si>
  <si>
    <t xml:space="preserve">•	Work with other members of a planning team to develop a prototype plan for an enterprise system that will process millions of records per day, including what key features system users require in the system as well as integration strategies to update existing systems that will transition into the new system build down the road
•	Develop modules of the initial enterprise system plan and work with the development team by coding advanced portions of the modules and delegating routine coding to junior Java developers
•	Conduct the testing of completed code modules with the help of junior Java developers, fixing code as needed to ensure a smooth system deployment with the intended functionality
•	Plan and execute all deployment of system features and monitor for successful integration, maintaining the system throughout its lifecycle
•	Build, test and support various desktop applications at the request of the business support department
</t>
  </si>
  <si>
    <t xml:space="preserve">•        Minimum3 years of experience in a relevant role (Juniors &amp; Seniors are encouraged to apply)
•        Technical Knowledge
         o        Java EE, Java8+, Spring Related Framework, JUnit 
         o        SpringBoot
         o        Database Technology: SQL and NoSQL
         o        HTML5, CSS3, Javascript (ES6), JQuery
         o        Familiar on Git technology and GitHub 
         o        Bonus : Angular2
         o        Bonus : Docker
         o        Bonus : Microservices framework
         o        Bonus : iOS and Android mobile app development
         o        Bonus : Amazon Web Service cloud computing
</t>
  </si>
  <si>
    <t>https://www.linkedin.com/in/amranjit-singh-datt-096a3958</t>
  </si>
  <si>
    <t>amranjit@yahoo.com</t>
  </si>
  <si>
    <t>Self</t>
  </si>
  <si>
    <t>Lili Novianti</t>
  </si>
  <si>
    <t>https://id.linkedin.com/in/lili-novianti-24b456bb</t>
  </si>
  <si>
    <t>lilinovianti@gmail.com</t>
  </si>
  <si>
    <t>Danny Henry Galatang</t>
  </si>
  <si>
    <t>Senior Operation Manager</t>
  </si>
  <si>
    <t>Experience with TPA/Insurance</t>
  </si>
  <si>
    <t>Michael Ariel-Deputy Hub Head at OYO and Muhammad Ichsan-Area Sales Manager at Unicharm.</t>
  </si>
  <si>
    <t>Halodoc</t>
  </si>
  <si>
    <t>Lili always enthusiast in facing challenges in her work and always find easier solution to complete something complex.</t>
  </si>
  <si>
    <t>EP required outside Indonesia</t>
  </si>
  <si>
    <t>Ignacio Palacios Santos</t>
  </si>
  <si>
    <t>tania@openspace.vc</t>
  </si>
  <si>
    <t>Blockchain &amp; Fullstack developer</t>
  </si>
  <si>
    <t>Xen Technologies</t>
  </si>
  <si>
    <t>https://www.linkedin.com/in/nachopalacios/</t>
  </si>
  <si>
    <t>ignacio.palacios.santos@gmail.com</t>
  </si>
  <si>
    <t>Claim Analyst</t>
  </si>
  <si>
    <t>Matteo Ferrante</t>
  </si>
  <si>
    <t>I am a EP holder</t>
  </si>
  <si>
    <t>CHUA WENXIU</t>
  </si>
  <si>
    <t>Expedia Group</t>
  </si>
  <si>
    <t>https://www.linkedin.com/in/gwenchuawx/</t>
  </si>
  <si>
    <t>caiwxgwen@gmail.com</t>
  </si>
  <si>
    <t>Straits Time</t>
  </si>
  <si>
    <t>Eugene Lin, Senior Global Sales Manager</t>
  </si>
  <si>
    <t>Chen Chao, Manager Business Development</t>
  </si>
  <si>
    <t>Ali Aria Perdana</t>
  </si>
  <si>
    <t>Consumer Analytics Solutions Lead</t>
  </si>
  <si>
    <t>https://www.linkedin.com/in/ali-aria-p/</t>
  </si>
  <si>
    <t>ali.aria.perdana@gmail.com</t>
  </si>
  <si>
    <t>VP of Strategic Initiatives</t>
  </si>
  <si>
    <t>Consulting/Investment Banking background with at least 4-5 years of experience
Experience in agritech or micro financing
Can communicate in Bahasa Indonesia</t>
  </si>
  <si>
    <t>Vu Khuu</t>
  </si>
  <si>
    <t>TaniHub Group</t>
  </si>
  <si>
    <t>vsource.io</t>
  </si>
  <si>
    <t>Agritech</t>
  </si>
  <si>
    <t>https://www.linkedin.com/in/alfredpatric/</t>
  </si>
  <si>
    <t>VP of Financing</t>
  </si>
  <si>
    <t>Consulting/Investment Banking background with at least 4-5 years of experience
Experience in crowdfunding or micro financing
Can communicate in Bahasa Indonesia</t>
  </si>
  <si>
    <t>alfredpatric@gmail.com</t>
  </si>
  <si>
    <t>James Galvin, CEO @ vsource</t>
  </si>
  <si>
    <t>Alfred is an energetic and passionate product manager. He is a creative problem solver and a great communicator.</t>
  </si>
  <si>
    <t>Need visa sponsorship</t>
  </si>
  <si>
    <t>Muhamad Aldi</t>
  </si>
  <si>
    <t>Graphic Design</t>
  </si>
  <si>
    <t>PT MNC Land Tbk</t>
  </si>
  <si>
    <t>https://www.linkedin.com/in/muhaldi/</t>
  </si>
  <si>
    <t>mohalldi123@gmail.com</t>
  </si>
  <si>
    <t>Josephine</t>
  </si>
  <si>
    <t>Dian Purnasari</t>
  </si>
  <si>
    <t>Host (Experience Team)</t>
  </si>
  <si>
    <t>HUBUD Coworking Space</t>
  </si>
  <si>
    <t>https://www.linkedin.com/in/dianpurna/</t>
  </si>
  <si>
    <t>Help lead the founding team of a stealth social impact venture working to improve the lives of smallholder farmers in developing markets, backed by BCG Digital Ventures and one of the world’s largest agri-commodity companies.</t>
  </si>
  <si>
    <t>purnasari.dianayu@gmail.com</t>
  </si>
  <si>
    <t>Maria Agustin, former Operatinal Manager @HUBUD Coworking Space</t>
  </si>
  <si>
    <t>Kasyfi Rahman - Community and Event Manager @HUBUD Coworking Space</t>
  </si>
  <si>
    <t>- Proven leadership experience in product management, agile development, product launches and scaling
- Track record of setting clear direction and driving high levels of engagement and performance across multidisciplinary teams
- Demonstrated experience developing and launching products from the ground up, with strong prioritisation and requirements trade-off expertise
- Track record of building and scaling a world-class product team
- Leadership experience in communicating product vision and expectations at the senior executive level; ability to influence through persuasive verbal and written communication
- Relevant experience in industries such as agtech, supply chain/logistics, marketplaces/eCommerce or fintech in developing markets
- Entrepreneurial, curious and passionate about making a difference for some of the world's poorest people!</t>
  </si>
  <si>
    <t>Nikolas Wijaya</t>
  </si>
  <si>
    <t>Gaia (stealth code name)</t>
  </si>
  <si>
    <t>Front End Developer</t>
  </si>
  <si>
    <t>Social impact/agtech</t>
  </si>
  <si>
    <t>Ayannah</t>
  </si>
  <si>
    <t>https://www.linkedin.com/in/nikolas-wijaya-17965b180/</t>
  </si>
  <si>
    <t>www.bcgdv.com</t>
  </si>
  <si>
    <t>huangnik90@gmail.com</t>
  </si>
  <si>
    <t>Ramon - Business Development @Ayannah</t>
  </si>
  <si>
    <t>Albert as my senior Front end and Chris as my Senior Back End developer</t>
  </si>
  <si>
    <t>I have strong team with amazing talents in their respective field. We have same equality so there are no seniority on our working environment. We also done our task within time frame so everything work out fine until recently pandemin occured.</t>
  </si>
  <si>
    <t>Teuku Muhammad Ikram Y</t>
  </si>
  <si>
    <t>Data Analyst &amp; Credit Analyst</t>
  </si>
  <si>
    <t>CIMB Niaga Finance</t>
  </si>
  <si>
    <t>T.M. Ikram. YS</t>
  </si>
  <si>
    <t>teuku.ikram.ys@gmail.com</t>
  </si>
  <si>
    <t>Finance, Data and analytics</t>
  </si>
  <si>
    <t>Muhammad Mashudi, Team Leader @ CIMB Niaga Finance</t>
  </si>
  <si>
    <t>Muhammad Mashudi as Team Leader Credit Analyst</t>
  </si>
  <si>
    <t>Mashudi is one of my favorite Team leaders because he has a strong understanding of Strong credit analysis, and business fundamentals. He's also awesome to have in the office and makes people smile</t>
  </si>
  <si>
    <t>Carlos Estrella</t>
  </si>
  <si>
    <t>Chief Lending Officer</t>
  </si>
  <si>
    <t>PT amalan International Indonesia</t>
  </si>
  <si>
    <t>https://www.linkedin.com/in/carlosehestrella/</t>
  </si>
  <si>
    <t>Email swarnima.korde@bcgdv.com</t>
  </si>
  <si>
    <t>carlos.estrella@insead.edu</t>
  </si>
  <si>
    <t>BD and Partnerships, Ops, Data and analytics, Exec team, HR, People, Talent</t>
  </si>
  <si>
    <t>Arne Hartmann, CEO, PT amalan International</t>
  </si>
  <si>
    <t>Arne, CEO</t>
  </si>
  <si>
    <t>Still have KITAS, will need elsewhere.</t>
  </si>
  <si>
    <t>Rumpaka a.k.a Arhoemsky</t>
  </si>
  <si>
    <t>Line Prodcer</t>
  </si>
  <si>
    <t>MD Pictures</t>
  </si>
  <si>
    <t>midToken=AQHwWyBz0DUaKQ</t>
  </si>
  <si>
    <t>arhoem@gmail.com</t>
  </si>
  <si>
    <t>Internet</t>
  </si>
  <si>
    <t>Head of Engineering</t>
  </si>
  <si>
    <t>Dicha Keci</t>
  </si>
  <si>
    <t xml:space="preserve">Client executive </t>
  </si>
  <si>
    <t>Help lead the founding team of a stealth social impact venture working to improve the lives of smallholder farmers in developing markets, backed by BCG Digital Ventures and one of the world’s largest agri-commodity companies</t>
  </si>
  <si>
    <t>EKRUT</t>
  </si>
  <si>
    <t>Dichakeci</t>
  </si>
  <si>
    <t>dichakeci@gmail.com</t>
  </si>
  <si>
    <t>- Extensive software engineering experience (10+ years) in a fast-paced environment (startup leadership experience preferred)
- Firm understanding of cloud-based infrastructure management
- Proven ability to scale and build large engineering teams from scratch, lead and drive high levels of engagement and performance
- Ability to operate in a hands-on development capacity as well as strategic and stakeholder-facing
- Relevant experience in industries such as agtech, supply chain/logistics, marketplaces/eCommerce or fintech in developing markets preferred
- Entrepreneurial, curious and passionate about making a difference for some of the world's poorest people!
Languages / Frameworks
Java, Android Native, Spring, Postgres, Kafka, KSQL, Docker, K8S, Azure</t>
  </si>
  <si>
    <t>Adini Rulita, Supervisor @ekrut</t>
  </si>
  <si>
    <t>“ company may be sad because of losing a hardworking and efficient employee, but we are sad because your heart-warming smile and cherful person we will no longer see. Goodbye and farewell.</t>
  </si>
  <si>
    <t>SAW TSE CHUEN</t>
  </si>
  <si>
    <t>Corporate Finance Senior Associate</t>
  </si>
  <si>
    <t>CoHive , Jakarta</t>
  </si>
  <si>
    <t>www.linkedin.com/in/jettsaw</t>
  </si>
  <si>
    <t>jettsaw8@gmail.com</t>
  </si>
  <si>
    <t>Sheryel Teng, Marketing and Product @ Arcus</t>
  </si>
  <si>
    <t>Beatrice Lodia</t>
  </si>
  <si>
    <t xml:space="preserve">Jett is logical and analytical in his finance skills. He has had to analyse the financial performance of CoHive's portfolio of 30 properties. He's my support system at work. </t>
  </si>
  <si>
    <t>I have Malaysian Passport</t>
  </si>
  <si>
    <t>Erica Geraldine Sanger</t>
  </si>
  <si>
    <t>Content Specialist</t>
  </si>
  <si>
    <t>Purwadhika Startup &amp; Coding School</t>
  </si>
  <si>
    <t>https://www.linkedin.com/in/ericagsanger/</t>
  </si>
  <si>
    <t>erica.geraldine@hotmail.com</t>
  </si>
  <si>
    <t>Engineer (2x front end, 2x backend)</t>
  </si>
  <si>
    <t>Join the founding team team to build a stealth social impact venture working to improve the lives of smallholder farmers in developing markets, backed by BCG Digital Ventures and one of the world’s largest agri-commodity companies</t>
  </si>
  <si>
    <t>Belle Lim</t>
  </si>
  <si>
    <t>- Hands-on development and delivery experience with a broad mix of languages and technologies
- Real passion for solving customer frictions through simple and effective software
- Strong people skills that contribute to an open and collaborative environment
- Experience working with Agile, Lean and Continuous Delivery approaches, such as Continuous Integration, TDD, Infrastructure as Code etc.
- Experience in communicating ideas and decisions to a variety of team members
- Experience building cloud native software architectures
- An ability to embrace and reduce uncertainty through continual validated learning
- Building great software at web scale requires a multidisciplinary approach to engineering. It is far more important to be able to reason intelligently about complex problems, and apply experience to new domains than it is to know specifics about the newest technology buzzword. 
Below are the technologies we primarily use for back end development. However, we'll always choose the best tool for the job (maybe you can suggest one?), so don't consider this list either exhaustive or immutable: 
Languages / Frameworks
Front End: Java, Android Native
Back End: Java, Spring, Postgres, Kafka, KSQL, Docker, K8S, Azure</t>
  </si>
  <si>
    <t>Operations Associate</t>
  </si>
  <si>
    <t>Beam Mobility Australia Pty Ltd</t>
  </si>
  <si>
    <t>linkedin.com/in/belle-lim</t>
  </si>
  <si>
    <t>belle-lim@outlook.com</t>
  </si>
  <si>
    <t>Alan Jiang, CEO/Founder @ Beam Mobility</t>
  </si>
  <si>
    <t>Ian Pearman (Chief Marketing Officer)</t>
  </si>
  <si>
    <t>From dealing with hairy brutish chargers in ADL, to business development deals across the city, to writing EOI deployment plans, to setting up our whole operation in Bunbury, Belle has arguably had one of the most varied portfolios in Beam. it's a tribute to her that she has thrown herself at all of these tasks with equal enthusiasm, and if she hasn't known how to approach something, she has always had the humility and good sense to ask for advice. She is a good team player and gets on well with all of her peers, and everyone wants to help her because of the relationships she builds with them. There are very few people of her age and career stage who are able to gain experience in such a wide array of business disciplines - from BD, to CS, to Ops to Supply Chain - and that will always serve her well whether at Beam or beyond.</t>
  </si>
  <si>
    <t>Vika</t>
  </si>
  <si>
    <t>in.com/in/vika-tan-301914163/</t>
  </si>
  <si>
    <t>vikataan@gmail.com</t>
  </si>
  <si>
    <t>Erica Geraldine, Content Specialist @ Purwadika Startup and Coding School</t>
  </si>
  <si>
    <t>Danial Bin Mustafah Khamal</t>
  </si>
  <si>
    <t>Logistics Executive</t>
  </si>
  <si>
    <t>BlinQ Fashion</t>
  </si>
  <si>
    <t>https://www.linkedin.com/in/danial-mustafah-khamal-244a9b152/</t>
  </si>
  <si>
    <t>Data scientist</t>
  </si>
  <si>
    <t xml:space="preserve">As a Lead Data Scientist you will have the following experience:
- Techniques like: Machine Learning, NLP, Graph Theory, AI
- One or more programming languages like Python, Java, R, or Scala
- Delivering data science components that are part of successful commercial products
- Collaborating with engineering teams to develop prototypes and software products that can be deployed across varied environments (e.g.: cloud, on-premises, devices, etc.)
- Big Data and Fast Data (i.e.: real time streaming)
- Working with stakeholders and executives
Additional Desired Competencies:
- Advanced degree in Computer Science, Statistics, Mathematics, or equivalent practical experience
- Several years relevant work experience, including expertise in recommendation systems, personalization, collaborative filtering and content based filtering
- Experience with distributed systems such as Hadoop/MapReduce, Spark, streaming data processing, cloud architecture
- Familiarity with SQL or other querying language
- Ability to work with dashboard and visualization software such as Tableau, D3, Mixpanel, Flurry or Google Analytics
</t>
  </si>
  <si>
    <t>danialomk@gmail.com</t>
  </si>
  <si>
    <t>Chris Wong (CFO BlinQ Fashion)</t>
  </si>
  <si>
    <t>Chris Wong (CFO)</t>
  </si>
  <si>
    <t>Danial is a great guy with excellent initiative, he is dependable and sharp. I wish Danial a long and successful career.</t>
  </si>
  <si>
    <t>Sharad Harjai</t>
  </si>
  <si>
    <t>VP - Marketing</t>
  </si>
  <si>
    <t>www.linkedin.com/in/sharadharjai</t>
  </si>
  <si>
    <t>harjai.sharad@gmail.com</t>
  </si>
  <si>
    <t>Christian Edelmann, CTO @dahmakan</t>
  </si>
  <si>
    <t>Ananda WIjaya Kusuma</t>
  </si>
  <si>
    <t xml:space="preserve">BlueMart Indonesia </t>
  </si>
  <si>
    <t>https://www.linkedin.com/in/ananda-wijaya-2428637b/</t>
  </si>
  <si>
    <t>Talent Acquisition Partner</t>
  </si>
  <si>
    <t>wijayakusuma.ananda@gmail.com</t>
  </si>
  <si>
    <t>Build the founding team of a stealth social impact venture working to improve the lives of smallholder farmers in developing markets, backed by BCG Digital Ventures and one of the world’s largest agri-commodity companies. Scale team from small founding group to several hundred employees.</t>
  </si>
  <si>
    <t>BD @ Bluepay</t>
  </si>
  <si>
    <t>- Several years experience recruiting, preferably in recruiting teams of venture capital firms, incubators, tech companies, tech startups, or executive search firms
- Excellent 360 degrees recruiting capabilities, including sourcing, pitching, assessing, and closing candidates, in particular for Software Engineering, Product Management, or Design roles
- Experienced in effectively managing time, defining work packages, prioritizing work, and multitasking across multiple assignments
- Ambitious and entrepreneurial mindset
- Excellent (native-equivalent) verbal &amp; written English</t>
  </si>
  <si>
    <t>Ruth @ Bluepay</t>
  </si>
  <si>
    <t>Handi @ Bluepay</t>
  </si>
  <si>
    <t>Riky Hartaman</t>
  </si>
  <si>
    <t>Vivabuy (Cross Border Ecommerce)</t>
  </si>
  <si>
    <t>https://www.linkedin.com/in/hartaman/</t>
  </si>
  <si>
    <t>mrhartaman@gmail.com</t>
  </si>
  <si>
    <t>Nirmal Natarajan, @a good man and ilya kulyatin, Founder @Nimbleseller</t>
  </si>
  <si>
    <t>Yu Yi (Feiddy) - Ex CEO @Vivabuy ; Aron Ng - Ex Managing Director @Vivabuy ; Ilya Kulyatin - founder @nimbleseller ; Sony - founder @GudangImpor</t>
  </si>
  <si>
    <t>Alif Akbarsyah</t>
  </si>
  <si>
    <t>FORE COFFEE</t>
  </si>
  <si>
    <t>https://www.linkedin.com/in/alif-akbarsyah-5b8a77155/</t>
  </si>
  <si>
    <t>aakbarsyah@gmail.com</t>
  </si>
  <si>
    <t>Rendytio arifian, Backend Engineer @ FORE COFFEE</t>
  </si>
  <si>
    <t>Hans Kristian, Senior Backend Engineer @ FORE COFFEE</t>
  </si>
  <si>
    <t>Alif is a colleague who has a high enthusiasm for learning in learning new things. He is not reluctant to ask questions and discuss with anyone in dealing with a problem. He can also control his emotions very well. even though he is young, he can be mature in dealing with problems.</t>
  </si>
  <si>
    <t>- Follow up all incoming leads to close the deal (in-bound sales)
- Perform end-to-end sales pipeline (out-bound sales)
- Executing sales strategy to increase demand and supply
- Achieve target according to company's needs
- Evaluate market condition and drive market development
- Provide ongoing support to the customer as needed
- Work closely with operations team</t>
  </si>
  <si>
    <t xml:space="preserve">
- Minimum 3 years experience in Business Development (B2B) or Sales role
- Possess excellent communication and negotiation skills
- Target driven, resilient, with a strong work ethic
- Ability to work independently as well as part of a team in a fast-paced environment
- Experience in property industry is a plus
- Fluent in English is preferable
- Fresh graduates with Sales exposure are also encouraged to apply</t>
  </si>
  <si>
    <t>Muhammad Hafiz</t>
  </si>
  <si>
    <t>Ninenineone Network</t>
  </si>
  <si>
    <t>https://www.linkedin.com/in/mohd-hafiz-136297a4/</t>
  </si>
  <si>
    <t>jacky@yukstay.com</t>
  </si>
  <si>
    <t>sirmohdhafiz@gmail.com</t>
  </si>
  <si>
    <t>Senior Front End Developer</t>
  </si>
  <si>
    <t>Uray Desvianda Handoko</t>
  </si>
  <si>
    <t>Case Management Digital</t>
  </si>
  <si>
    <t>- Build reusable components and front-end libraries for future use
- Optimize components for maximum performance across a vast array of web-capable devices and browsers 
- Collaborate with UI/UX design team &amp; Product team</t>
  </si>
  <si>
    <t>- Minimal 2 years experience as front-end developer 
- Proficient with ES6, ReactJS, and Redux
- Proficiency developing well-structured web applications using modern JavaScript tools like ReactJS and Redux
- Experience with common front-end development tools such as Babel, Webpack, NPM, etc. 
- Experience implement design pattern + clean code is a must
- Ability to understand business requirements and translate them into technical requirements
- Communicate in English</t>
  </si>
  <si>
    <t>https://www.linkedin.com/in/uray-desvianda-handoko-96746a147</t>
  </si>
  <si>
    <t>rachel@yukstay.com</t>
  </si>
  <si>
    <t>urayunpak@gmail.com</t>
  </si>
  <si>
    <t>Marketing, BD and Partnerships, Product, Ops, Design</t>
  </si>
  <si>
    <t>- Minimal 1 year experience 
- Thorough understanding of React.js and its core principles 
- Experience with common front-end development tools such as Babel, Webpack, NPM, etc. 
- Experience implement design pattern + clean code is a must
- Familiarity with modern front-end build pipelines and tools 
- Ability to understand business requirements and translate them into technical requirements</t>
  </si>
  <si>
    <t>William Tanuwidjaya, CEO Tokopedia</t>
  </si>
  <si>
    <t>Lisa Andriani, Operational Manager</t>
  </si>
  <si>
    <t>Lisa Andriani, is my leader the operational case management manager in Tokopedia office the most powerfull and kind person i know, she the consider leader for me and the best i know</t>
  </si>
  <si>
    <t>Dwi Sasongko Supriyadi</t>
  </si>
  <si>
    <t>https://www.linkedin.com/in/ruckuus/</t>
  </si>
  <si>
    <t>- Build, maintain, and optimize features and system to better standard and scalability
- Troubleshoot and debug to optimize performance
- Integrate new technologies and software engineering tools into existing structures
- Design, implement and manage end to end data pipelinesto make data accessible for analysis</t>
  </si>
  <si>
    <t xml:space="preserve">
- Minimum 2-4 years of working experience in the related field 
- Back-end engineer, Front-end engineer
- Good Analytical Skills and strong attention to detail
- Proficient with ES6, React, React Native and Redux
- Knowledge of multiple front-end and back-end languages and libraries
- Great team player and strong problem solving and communication skills
- Excellent understanding in core computer science and software engineering concepts and algorithms</t>
  </si>
  <si>
    <t>dwi.sasongko.supriyadi@gmail.com</t>
  </si>
  <si>
    <t>BD and Partnerships, Engineering, Product, Ops, Exec team</t>
  </si>
  <si>
    <t>Colleagues at HOOQ</t>
  </si>
  <si>
    <t>Muhammad Alif Fauzan</t>
  </si>
  <si>
    <t>Senior Product Analyst</t>
  </si>
  <si>
    <t>http://linkedin.com/in/muhammad-alif-fauzan</t>
  </si>
  <si>
    <t>SEO Specialist</t>
  </si>
  <si>
    <t xml:space="preserve">
- Analyze, review and implement company’s website ranks and develop &amp; execute SEO campaigns to increase website’s traffic
- Optimize content and landing pages for SEO and SEM
- Identify and analyze trends, insights and also competitors' keywords and SEO techniques
- Actively perform ongoing keyword discovery, expansion and optimization
- Develop link building strategies
- Monitor SEO performances &amp; issue
- Create detailed analytic and strategy reports</t>
  </si>
  <si>
    <t>- Proven SEO experience with strong knowledge in latest SEO and SEM algorithm
- Strong attention to detail, analytical skill and critical thinking
- Experience with website optimization tools
- In-depth knowledge of SEO tools 
- Knowledge of ranking factors and search engine algorithms
- Good understanding of Google Analytics</t>
  </si>
  <si>
    <t>Alif.fauzann@gmail.com</t>
  </si>
  <si>
    <t>Rajesh Dobariya</t>
  </si>
  <si>
    <t>IRiver Asia</t>
  </si>
  <si>
    <t>https://www.linkedin.com/in/rajesh-dobariya</t>
  </si>
  <si>
    <t xml:space="preserve">Software Engineer </t>
  </si>
  <si>
    <t xml:space="preserve">1.        Develop our product to communicate within ourself and the world.
2.        Develop the pipeline and architecture of our products to achieve a more efficient and more secure system.
</t>
  </si>
  <si>
    <t>rajesh.dobariya007@gmail.com</t>
  </si>
  <si>
    <t>Hazrul, Product Manager @ Janio</t>
  </si>
  <si>
    <t>1. Good understanding of distributed systems principle.
2. Basic knowledge of machine learning and computer system.
3. Familiar with cloud computing products like AWS or GCP.
4. Familiar with docker.
5. Proficient in python.
6. Good software development practices</t>
  </si>
  <si>
    <t>Konvergen AI</t>
  </si>
  <si>
    <t>Agus Supriadi</t>
  </si>
  <si>
    <t>Artificial Intellegence</t>
  </si>
  <si>
    <t>Document control management system,2d &amp; 3d Designer, it support</t>
  </si>
  <si>
    <t>Pt Smart tbk</t>
  </si>
  <si>
    <t>https://www.linkedin.com/in/agus-supriadi-a04687a9</t>
  </si>
  <si>
    <t>https://career.catapa.com/konvergenai/27eaf9e2-c63f-4f65-8960-0b9a66ef04d8</t>
  </si>
  <si>
    <t>adydirnt@gmail.com</t>
  </si>
  <si>
    <t>News from internet</t>
  </si>
  <si>
    <t>Rama C buana, dept head of Document control</t>
  </si>
  <si>
    <t>I can work with limited resources</t>
  </si>
  <si>
    <t>Michael Chandra Gondoboentoro</t>
  </si>
  <si>
    <t>Software Developer &amp; Data Analyst</t>
  </si>
  <si>
    <t>Marimakan</t>
  </si>
  <si>
    <t>https://www.linkedin.com/in/michael-chandra-345651133/</t>
  </si>
  <si>
    <t>michaelchandrag114@gmail.com</t>
  </si>
  <si>
    <t>Natali Ardianto, CEO @ Jovee</t>
  </si>
  <si>
    <t>vikasutantyo@konvergen.ai</t>
  </si>
  <si>
    <t>I need visa requirements outside Indonesia</t>
  </si>
  <si>
    <t>Alif Juliansyah</t>
  </si>
  <si>
    <t>FrontEnd</t>
  </si>
  <si>
    <t>Kompis Creative Solutions</t>
  </si>
  <si>
    <t>https://www.linkedin.com/in/alif-juliansyah-5a7822150/</t>
  </si>
  <si>
    <t>Software Engineer - Fullstack Web</t>
  </si>
  <si>
    <t>1.     Design and implement business requirements into a reliable, reusable and scalable technical solutions.
2.     Collaborate with members of our team to participate in the entire application lifecycle, focusing on coding and debugging (backend and frontend)
3.     Optimizing application for maximum performance across a vast array of web-capable devices and browsers.
4.     Research new technologies and tools that help in building the next generation of Konvergen services.</t>
  </si>
  <si>
    <t>aliph.julian@gmail.com</t>
  </si>
  <si>
    <t>1. Strong understanding of data structures and algorithms concepts.
2. Strong analytical and problem-solving skills
3. Familiar in frontend development with HTML, CSS, Javascript, Jquery, Ajax.
4. Familiar in backend development with REST API, SQL.
5. Proficient with Git
6. Well understanding of OOP and Design Patterns.
Added Values :
1. 1-2 year of relevant software development experiences.
2. Familiar with Scss, ReactJs, Redux, Typescript
3. Familiar with ExpressJs or similar modern NodeJS framework and NoSQL.
4. Having a strong pattern architecture understanding, such as GoF, SOLID, DDD, CQRS, etc.</t>
  </si>
  <si>
    <t>co-worker, @ kompis creative solutions</t>
  </si>
  <si>
    <t>https://career.catapa.com/konvergenai/99a23eb8-a3ac-4028-a676-f4622defec05</t>
  </si>
  <si>
    <t xml:space="preserve">Paul William Edulan </t>
  </si>
  <si>
    <t>Restaurant Supervisor</t>
  </si>
  <si>
    <t>MSC CRUISE LINE</t>
  </si>
  <si>
    <t>Paul Edulan</t>
  </si>
  <si>
    <t xml:space="preserve">pauledulan0509@gmail.com </t>
  </si>
  <si>
    <t>Vietnam support group FB page</t>
  </si>
  <si>
    <t>Alexandra Drescher Elphick</t>
  </si>
  <si>
    <t xml:space="preserve">James Warren Reyes </t>
  </si>
  <si>
    <t>Working Visa</t>
  </si>
  <si>
    <t>Yogama Wijasmara</t>
  </si>
  <si>
    <t>Bachelor of Communication Science</t>
  </si>
  <si>
    <t>PT Bank Maybank Indonesia</t>
  </si>
  <si>
    <t>yogamawijasmara@gmail.com</t>
  </si>
  <si>
    <t>People in the internet</t>
  </si>
  <si>
    <t>Kevin Purnama</t>
  </si>
  <si>
    <t>Account Manager/Public Relations</t>
  </si>
  <si>
    <t>Elliot Communications/ProsPR Indonesia</t>
  </si>
  <si>
    <t>https://www.linkedin.com/in/kevin-purnama-8a5352128/</t>
  </si>
  <si>
    <t>Deputy Head of Product</t>
  </si>
  <si>
    <t>purnama.kevin18@gmail.com</t>
  </si>
  <si>
    <t>BD and Partnerships, Data and analytics, HR, People, Talent</t>
  </si>
  <si>
    <t>Saw on Linkedin feed</t>
  </si>
  <si>
    <t>Ryan Lee, Assistant Director; Elsari Primadini, Partnership Manager; Shintania, Senior Partnership Manager</t>
  </si>
  <si>
    <t>Kevin is a quick thinker and a creative person, who is very helpful towards his co-workers. He is such a great addition for a solid team.</t>
  </si>
  <si>
    <t>I currently do not own any working visa</t>
  </si>
  <si>
    <t>Rudi Muliawan</t>
  </si>
  <si>
    <t>https://id.linkedin.com/in/rudi-muliawan</t>
  </si>
  <si>
    <t>Inbound Marketing Specialist</t>
  </si>
  <si>
    <t>Develop content and content distribution plan which can generate online leads as effectively as possible. Your content must attract, educate and elevate our target prospect. You're to apply empathy and creativity to reduce our CPL and improve our lead quality</t>
  </si>
  <si>
    <t>1. At least 2 years experience in content-writing/inbound-marketing/CRM role 2. Extremely proficient in conducting topic research and distilling messaging 3. Knowledge in SEO, Paid and Organic digital marketing will be an advantage</t>
  </si>
  <si>
    <t>Peasy AI</t>
  </si>
  <si>
    <t>SaaS</t>
  </si>
  <si>
    <t>benjamin.fong@peasy.ai</t>
  </si>
  <si>
    <t>muliawan.rudi91@gmail.com</t>
  </si>
  <si>
    <t>Salman Farouk Al Hakim, Marketing Manager @ Nodeflux</t>
  </si>
  <si>
    <t>Ardhy Kurniawan</t>
  </si>
  <si>
    <t>Diploma 3 Finance and Banking</t>
  </si>
  <si>
    <t>Deltamas S.I.M (Authorized Toyota Dealership)</t>
  </si>
  <si>
    <t>therealardhy@gmail.com</t>
  </si>
  <si>
    <t>Marketing, Product, Data and analytics</t>
  </si>
  <si>
    <t>No one guy, i found it alone</t>
  </si>
  <si>
    <t>Sales Development Representative</t>
  </si>
  <si>
    <t>The SDR is held accountable for closing sales for SMB customers over the phone. Schedule discovery call with incoming leads. Through call and online, perform diagnosis and offer demo. Help prospect in the selection process.</t>
  </si>
  <si>
    <t>Avinash Kaushik</t>
  </si>
  <si>
    <t>1. At least 2 years experience in similar role and B2B sales. 2. Analytical, you are expected to continuously refine our sales playbook</t>
  </si>
  <si>
    <t>Growth Hacker,Strategy &amp; Operations,Business Development</t>
  </si>
  <si>
    <t>Stg</t>
  </si>
  <si>
    <t>www.linkedin.com/in/avinashkausik-akaushik</t>
  </si>
  <si>
    <t>Business Development Representative</t>
  </si>
  <si>
    <t>The BDR is held accountable for creating partnership opportunities. The candidate must find entry point within targeted partners, identified by the Field Sales. After which, schedules a discovery call and nurture the opportunity for a meeting, if the sales investment is warranted</t>
  </si>
  <si>
    <t>1. At least 2 years experience in similar role and Enterprise/Partnership/Reseller sales. 2. Analytical, you are expected to continuously refine our sales playbook</t>
  </si>
  <si>
    <t>akaushikpost@gmail.com</t>
  </si>
  <si>
    <t>Coo HelloDoc</t>
  </si>
  <si>
    <t>Septia Raharjo</t>
  </si>
  <si>
    <t>Logistics specialist</t>
  </si>
  <si>
    <t>Java anugerah</t>
  </si>
  <si>
    <t>Septia raharjo</t>
  </si>
  <si>
    <t>Septiaraharja@gmail.com</t>
  </si>
  <si>
    <t>Marketing, Ops, Data and analytics, Exec team</t>
  </si>
  <si>
    <t>Customer Support Manager</t>
  </si>
  <si>
    <t>News from kaskus.co.id</t>
  </si>
  <si>
    <t>The CSM onboard new users and encourage recurring use and upsell. The CSM must schedule kick-off with new users, setup communication plan and ensure that the product is persistently use to drive up appreciation. Build community of advocates inside the account.</t>
  </si>
  <si>
    <t>1. At least 2 years experience in similar role 2. Experience using Intercom/Kayako/Zendesk or similar tools 3. Problem-solving and strong customer advocate.</t>
  </si>
  <si>
    <t xml:space="preserve">Oniy as a leader, we works as a team and solving every issue in field even the team limited. </t>
  </si>
  <si>
    <t>Amree Zaid</t>
  </si>
  <si>
    <t>Caterspot</t>
  </si>
  <si>
    <t>https://www.linkedin.com/in/amree/</t>
  </si>
  <si>
    <t>Senior Database Administrator</t>
  </si>
  <si>
    <t>As a Database Administrator, you will plan, install, and maintain database systems to ensure the security, integrity and seamless flow of information for our high-traffic online trading platform. 
Responsibilities:
● Plan, install, and configure world-class database systems that meet business objectives and the needs of end users. 
● Plan and carry out the upgrade and migration of databases. 
● Develop, implement, and test database backup and recovery plans. 
● Manage database and data security by controlling access to data through authentication, authorisation, and auditing. 
● Perform tests to ensure database performance and security, as well as data integrity.
● Document and administer database policies, procedures, and standards. 
● Troubleshoot and debug problems in existing database systems, and find new ways to improve their speed, functionality, and scalability.</t>
  </si>
  <si>
    <t>mohd.amree@gmail.com</t>
  </si>
  <si>
    <t>● Experience as a DBA, with a focus on: 
- database setup 
- security 
- replication 
- performance tuning 
- disaster recovery 
- SQL queries and optimisation 
● Excellent troubleshooting skills 
● Experience with database testing tools such as pgtap 
● Knowledge of Linux system administration, preferably including configuration and automation tools such as Chef as well as shell scripting 
● Experience with PostgreSQL and/or SQL Server preferred 
● Experience with OLAP and MDX would be an advantage</t>
  </si>
  <si>
    <t>Arzumy CTO @ Fave</t>
  </si>
  <si>
    <t>Binary Group Services</t>
  </si>
  <si>
    <t xml:space="preserve">Software </t>
  </si>
  <si>
    <t>My previous CTO/Head of Engineering</t>
  </si>
  <si>
    <t>binary.com/en/careers.html</t>
  </si>
  <si>
    <t>Nah Swee Jann</t>
  </si>
  <si>
    <t>Marketing Communications Executive</t>
  </si>
  <si>
    <t>FOREFRONT International</t>
  </si>
  <si>
    <t>https://www.linkedin.com/in/nah-swee-jann-66a398165/</t>
  </si>
  <si>
    <t>recruitment@binary.com</t>
  </si>
  <si>
    <t>jannsnah@gmail.com</t>
  </si>
  <si>
    <t>Colleague of mine from FOREFRONT International</t>
  </si>
  <si>
    <t>Yvonne Lee, Senior Marketing Communications Executive</t>
  </si>
  <si>
    <t>Satya Rakasiwi</t>
  </si>
  <si>
    <t>Talent Management Executive</t>
  </si>
  <si>
    <t>prestisa.com</t>
  </si>
  <si>
    <t>Senior Disaster Recovery Analyst</t>
  </si>
  <si>
    <t>As a Disaster Recovery Analyst at Binary.com, you will help with the development, maintenance, and execution of disaster recovery strategies and risk management procedures. You will identify vulnerabilities in our IT infrastructure and determine critical processes required for the successful resumption of business operations in the event of system failure or disasters. You have an in-depth understanding of IT resilience and a hands-on integrated multidisciplinary approach, so you can create business continuance scenarios and effective disaster recovery plans.
Responsibilities: 
● Execute risk management, business continuity, and disaster recovery plans across the company. 
● Ensure the continuous implementation of a disaster recovery programme that observes disaster recovery policies, standards, procedures, and guidelines. 
● Identify the critical processes and systems that are core to our company’s continued business operation. 
● Conduct periodical checks to ensure that backups are created regularly and flawlessly. 
● Plan and execute periodical live disaster recovery testing to ensure the functionality of backups as well as the security and integrity of critical business processes. 
● Coordinate the vendor management of service providers who help with sustaining and improving our disaster recovery capabilities. 
● Provide rapid response and recovery by adhering to clear, actionable, and high-standard disaster recovery plans.</t>
  </si>
  <si>
    <t>● A minimum of two years’ direct experience in executing disaster recovery plans
● Hands-on experience in Linux and cloud computing (AWS, GCP, and other IAAS)
● Experience in networking and configuration management tools such as Chef, Ansible,
and SaltStack
● Comprehensive experience in database administration (PostgreSQL preferred)
● Hands-on experience in implementing high availability database clusters
● Extensive knowledge of industry-standard information security and disaster recovery
best practices
● Familiarity with legacy and modern application architectures and related technologies
(web applications, service-oriented architecture, microservices), network protocols, and
storage and backup services
● Ability to predict, identify, and define potential threats
● Strong communication and collaboration skills and the ability to interface with all levels of the company</t>
  </si>
  <si>
    <t>satyarakaa@gmail.com</t>
  </si>
  <si>
    <t>Bekti Biyantara Manager @ Prestisa.com</t>
  </si>
  <si>
    <t>Gilang Pradana Nugraha</t>
  </si>
  <si>
    <t>PT Solusi Energi Terbarukan</t>
  </si>
  <si>
    <t>https://id.linkedin.com/in/gilang-p-nugraha-</t>
  </si>
  <si>
    <t>As a Technical Writer, you will combine your excellent command of English and your strong understanding of the technology we use to produce well-structured, concise, and easy-to-understand technical documentation and architectural plans. You will collaborate with our IT teams and project managers to deliver key technical content. Our existing and future employees will benefit from your clear, comprehensive architectural and project plans that will act as detailed roadmaps, specifying how they need to proceed to reach end objectives. You will contribute to our state-of-the-art technology and reflect the brilliance of our engineers in your powerful content. 
Responsibilities 
● Develop an in-depth understanding of our products and services to condense information into simple, accurate, and polished documents tailored to their target audience. 
● Document our current and intended future systems and software architecture. 
● Produce coding standards, training manuals, and other technical documents for our Back-end, Front-end, Quants, Business Intelligence, and Quality Assurance teams as well as for the third-party developers who use our API. 
● Refine and polish engineer-generated documents and open source projects to imbue them with clarity and consistency. 
● Work with project managers to create detailed technical guidelines for achieving our short-term and long-term goals. 
● Generate documentation for our internal and public-facing APIs. 
● Identify and remedy content gaps and requirements to insert visual aids such as diagrams or videos to assist comprehension.
● Set the standard for our technical documentation by creating a technical style guide that can be followed across the company. 
● Make sure that production and publication of content are technically accurate, well-written, and easily understandable.</t>
  </si>
  <si>
    <t>● Good fundamental knowledge of software development, preferably with the programming languages, platforms, and systems that we use, such as Perl, Python, PHP, C/C++, Go, Ruby, Redis, Docker, Kubernetes, and AWS
● Familiarity with relational database design and/or open-source RDBMS systems such as MySQL and PostgreSQL 
● Good knowledge of Linux and other open-source platforms 
● Outstanding written and verbal communication skills and excellent command of English 
● More than 3 years of experience in technical content creation</t>
  </si>
  <si>
    <t>Malaysia / telecommute</t>
  </si>
  <si>
    <t>gilang.pradananugraha@gmail.com</t>
  </si>
  <si>
    <t>A friend</t>
  </si>
  <si>
    <t>Achmad Kamil, SEO Manager`</t>
  </si>
  <si>
    <t>I'm funny and pro</t>
  </si>
  <si>
    <t>Lilik Eko Pramono</t>
  </si>
  <si>
    <t>Data Management and Monitorin Evaluation</t>
  </si>
  <si>
    <t>International Finance Corporation</t>
  </si>
  <si>
    <t>www.linkedin.com/in/lilik-eko-pramono-474304/</t>
  </si>
  <si>
    <t>Lekopr@gmail.com</t>
  </si>
  <si>
    <t>As a Senior Copywriter, you will write high-performing copy for websites, apps, emails, social media, and other mediums that we use to engage with our audience. With a proven track record in digital copywriting and content strategy, you will help us to shape product experiences, refine our brand voice, drive discussions on quality control, and fine-tune our global marketing communication strategy. 
Responsibilities:
● Collaborate with designers, developers, analysts, and other stakeholders who are based around the world to define content requirements and strategy to achieve our desired business goals. 
● Write engaging marketing and sales copy to persuade our clients and prospects to take action. 
● Plan, write, and test UI copy and other text elements in our websites and apps. 
● Contextualise copy for its intended audience using our style guide, tone of voice, and internal processes as reference. 
● Edit and proofread copy as needed.</t>
  </si>
  <si>
    <t>BD and Partnerships, Data and analytics</t>
  </si>
  <si>
    <t>Lavinia Budiyanto</t>
  </si>
  <si>
    <t>● Excellent writing and editing skills with at least seven years of copywriting experience in digital advertising or online media 
● Expert command of writing for the web 
● Excellent English language skills with a keen eye for detail when it comes to punctuation, spelling, grammar, and syntax 
● Proven ability to translate complex, technical information into clear, attractive benefits</t>
  </si>
  <si>
    <t>Dwi Rahmat Wahyudi</t>
  </si>
  <si>
    <t>Eko is smart person with details and complete analysis, help our team for finish our job and achieve our target</t>
  </si>
  <si>
    <t>working visa</t>
  </si>
  <si>
    <t>Prananto Widi Hapsoro</t>
  </si>
  <si>
    <t>Data Analyst, Data Science</t>
  </si>
  <si>
    <t>Grab</t>
  </si>
  <si>
    <t>https://www.linkedin.com/in/widi-hapsoro46</t>
  </si>
  <si>
    <t>pwhnandi@gmail.com</t>
  </si>
  <si>
    <t>Senior Backend Developer</t>
  </si>
  <si>
    <t>As our Senior Back-end Developer, you are a seasoned leader who can inspire your team and bolster the databases, scripting, and IT architecture of our company. You take pride in mentoring the junior members of your team and involving them in facing and overcoming new challenges, which you see as an opportunity to gain knowledge and experience. With your advanced object-oriented programming skills, you are eager to take on heavy responsibilities that go above and beyond the regular back-end workload of testing and improving the performance, speed, stability, and security of the company’s website and applications. 
Responsibilities:
● Design and launch large, complex back-end projects autonomously. 
● Communicate with other teams to clearly identify the requirements, goals, and road map of joint projects. 
● Undertake massive architecture challenges to reach high availability and scalability aims. 
● Build, maintain, and optimise the technology that powers our servers, applications, and databases. 
● Define the priority of the Back-end team’s tasks according to the company’s direction. 
● Take the initiative to learn and work with the new technologies that are often introduced to the arsenal of our engineering teams. 
● Collaborate with front-end developers and other teams to develop high-quality web and mobile apps. 
● Lead your team in writing, reviewing, and documenting code to support and improve the functionality of our digital products. 
● Detect and fix complex bugs that might result in high-risk issues during development and deployment. 
● Elevate our data storage design to achieve greater speed, efficiency, and scalability.
● Supervise and engage in all aspects of the product life cycle.</t>
  </si>
  <si>
    <t>Soumya Pachigolla</t>
  </si>
  <si>
    <t>Expertise in any programming language, preferably Perl, Python, PHP, C/C++, Go, or
Ruby, and a willingness to become highly proficient with Perl
● Vast experience with relational database design, and/or open-source RDBMS systems
such as MySQL and PostgreSQL
● Extensive knowledge of information security and data protection
● Proficiency in Linux system administration
● Familiarity with Perl DBI, Moose, PSGI/Plack, NGINX, JavaScript, Redis, and Git
● Experience working with microservices and scalable systems
● Expert-level ability to produce high-quality, self-documenting code by using test-driven
development (TDD) techniques
● Long experience in Linux and other open-source platforms</t>
  </si>
  <si>
    <t>Genospace</t>
  </si>
  <si>
    <t>https://www.linkedin.com/in/soumyapachigolla</t>
  </si>
  <si>
    <t>psoumyagt@gmail.com</t>
  </si>
  <si>
    <t>USA</t>
  </si>
  <si>
    <t>Austin Night @ Google</t>
  </si>
  <si>
    <t>Need visa sponcership</t>
  </si>
  <si>
    <t>Haig Yapoudjian</t>
  </si>
  <si>
    <t xml:space="preserve">Client Director </t>
  </si>
  <si>
    <t xml:space="preserve">Finquest </t>
  </si>
  <si>
    <t>https://www.linkedin.com/in/haig-yapoudjian-63369328</t>
  </si>
  <si>
    <t>As a Front-End Developer, you will take care of our application development with a strong focus on improving the user experience. You will advocate for clients’ needs when implementing new products and features on our web applications. 
Responsibilities 
● Be meticulous, organised, results-driven, and proactive. 
● Communicate effectively with other team members to understand the big picture of the organisation and its goals. 
● Collaborate regularly with researchers, designers, and developers on the implementation of new features and products. 
● Provide technical leadership, leading by example throughout the development process. 
● Develop and maintain advanced features, tools, and applications according to best practices in UI/UX, front-end development and hybrid mobile application development.
● Test and debug our ever-evolving product line to improve their speed, scalability, and usability across multiple browsers, devices, and web standards. 
● Stay on top of the latest JavaScript frameworks, libraries, and tools in order to apply them when necessary to solve challenges related to web and mobile development. ● Research and test new web technologies and make recommendations on opportunities to improve our user interface. 
● Ensure the design and development of each product is consistent with our style guide, and that everything works as planned with each release</t>
  </si>
  <si>
    <t>Minimum qualifications 
● Extensive experience of JavaScript, HTML, and CSS 
● Experience with package managers (npm), task runners (Gulp, Webpack, Grunt), CSS processors (Sass, Stylus), and APIs (WebSocket) 
● Familiarity with various JavaScript standards, libraries, frameworks, compilers, and transpilers including ES6, TypeScript, Babel, Web Workers, React, and Angular 
● Extensive knowledge in advanced coding techniques and cross-platform development 
● Ability to write high-quality, self-documenting code using test-driven development techniques 
● Familiarity with testing and debugging processes, including unit testing and UI testing 
● Passion for Linux and other open-source platforms 
Preferred qualifications 
● Knowledge of information security and data protection 
● Experience in responsive and mobile web design 
● Good grasp of user experience and user interface design 
● Familiarity in search engine optimisation (SEO) 
● Knowledge of back-end technologies</t>
  </si>
  <si>
    <t>haig.yapoudjian@gmail.com</t>
  </si>
  <si>
    <t xml:space="preserve">a colleague </t>
  </si>
  <si>
    <t>Employment pass</t>
  </si>
  <si>
    <t>Immanuel Giras Pasopati</t>
  </si>
  <si>
    <t>Sr. Content Manager and Acting Head of Marketing</t>
  </si>
  <si>
    <t>Amalan International Pte. Ltd.</t>
  </si>
  <si>
    <t>https://www.linkedin.com/in/giraspasopati/</t>
  </si>
  <si>
    <t>Senior Android Developer</t>
  </si>
  <si>
    <t>a. Develop Mobile application for Android
b. Working closely with UI/UX designer to build a great user interface
c. Involve and integrate the mobile application with the web platform development for e-commerce</t>
  </si>
  <si>
    <t>giraspasopati@gmail.com</t>
  </si>
  <si>
    <t>Arne Hartmann, CEO at Amalan International Pte. Ltd.</t>
  </si>
  <si>
    <t xml:space="preserve">His sharp skills in social media, content marketing, and SEO have benefitted us instantly. He has excellent communication skills and can work both independently and leading a  team. He ensured all projects were completed in a timely manner. I strongly recommend Giras to any organization that seeks to develop high quality content across all types of media. Throughout his time at amalan international, Giras did a great job as Senior Content Manager and acting Head of Marketing. </t>
  </si>
  <si>
    <t>Need to apply again.</t>
  </si>
  <si>
    <t>Alfredo Zola</t>
  </si>
  <si>
    <r>
      <rPr>
        <sz val="10"/>
        <rFont val="Arial"/>
      </rPr>
      <t xml:space="preserve">a. Bachelor Degree in related fields of mobile application technology
b. Knowledge in RESTful / SOAP API Integration
c. At least 4+ years of working experience as Android Developer 
d. Mandatory skills: </t>
    </r>
    <r>
      <rPr>
        <b/>
        <sz val="10"/>
        <rFont val="Arial"/>
      </rPr>
      <t>Kotlin</t>
    </r>
    <r>
      <rPr>
        <sz val="10"/>
        <rFont val="Arial"/>
      </rPr>
      <t xml:space="preserve"> for Android, OOP &amp; Android Java</t>
    </r>
  </si>
  <si>
    <t>Geophysical Engineer</t>
  </si>
  <si>
    <t xml:space="preserve">Home Credit Indonesia </t>
  </si>
  <si>
    <t>https://www.linkedin.com/in/alfredo-marciano-zola-805340139/</t>
  </si>
  <si>
    <t>SehatQ.com</t>
  </si>
  <si>
    <t>alfredomarciano98@gmail.com</t>
  </si>
  <si>
    <t>Dennis Mutama</t>
  </si>
  <si>
    <t>Anugrah Yudha Pranata</t>
  </si>
  <si>
    <t>SEM Analyst</t>
  </si>
  <si>
    <t>https://www.linkedin.com/in/anugrahyudha96</t>
  </si>
  <si>
    <t>Health Tech</t>
  </si>
  <si>
    <t>https://www.kalibrr.com/c/sehatq/jobs</t>
  </si>
  <si>
    <t>anugrah.yudha96@hotmail.com</t>
  </si>
  <si>
    <t xml:space="preserve">Alandra Baramuli </t>
  </si>
  <si>
    <t xml:space="preserve">Marketing Manager </t>
  </si>
  <si>
    <t>HUYA</t>
  </si>
  <si>
    <t>linkedin.com/in/alandradioagastyab</t>
  </si>
  <si>
    <t>work@sehatQ.com</t>
  </si>
  <si>
    <t>Alandrabaramuli@gmail.com</t>
  </si>
  <si>
    <t xml:space="preserve">Sulya Widya </t>
  </si>
  <si>
    <t xml:space="preserve">Triyanto - Oprational Manager </t>
  </si>
  <si>
    <t>FAZLA RABBY</t>
  </si>
  <si>
    <t>Customer Service Agent</t>
  </si>
  <si>
    <t>http://linkedin.com/in/fazla-rabby-b91720152</t>
  </si>
  <si>
    <t>Lead iOS Developer</t>
  </si>
  <si>
    <t>a. Develop Mobile application for iOS with Swift 5
b. Working closely with UI/UX designer to build a great user interface
c. Involve and integrate the mobile application with the web platform development for e-commerce</t>
  </si>
  <si>
    <r>
      <rPr>
        <sz val="10"/>
        <rFont val="Arial"/>
      </rPr>
      <t xml:space="preserve">a. Bachelor Degree in related fields of mobile application technology
b. At least 5+ years of working experience as iOS Developer, please attached list of your App Store published apps in your resume
c. Min. 1 year experience as Lead iOS Developer
d. Experience skill : </t>
    </r>
    <r>
      <rPr>
        <b/>
        <sz val="10"/>
        <rFont val="Arial"/>
      </rPr>
      <t>Swift 5, OOP, clean code, integration API</t>
    </r>
    <r>
      <rPr>
        <sz val="10"/>
        <rFont val="Arial"/>
      </rPr>
      <t xml:space="preserve">
e. Knowledge and experience in : MVVM Design patern, RxSwift and different stages of software development
f. Experience with tools : Xcode and Git</t>
    </r>
  </si>
  <si>
    <t>rabbiskylancer@gmail.com</t>
  </si>
  <si>
    <t>Tarsha</t>
  </si>
  <si>
    <t>Vinesshwar Viknes,Manager at CS department dahmakan</t>
  </si>
  <si>
    <t>Mr Viknes is one of the best Manager I had so far.I loved to work under him due to his warm behavior,capability of decision making and valuing his juniors.</t>
  </si>
  <si>
    <t>Fauzi Ananta</t>
  </si>
  <si>
    <t>Kamar Keluarga</t>
  </si>
  <si>
    <t>https://www.linkedin.com/in/fauziananta/</t>
  </si>
  <si>
    <t>fauziananta30@gmail.com</t>
  </si>
  <si>
    <t>Karina, BD Manager @Xfers</t>
  </si>
  <si>
    <t>Ian Agisti, Community Manager @bukalapak</t>
  </si>
  <si>
    <t>Gerard James</t>
  </si>
  <si>
    <t>Director Business Development</t>
  </si>
  <si>
    <t>atta Inc</t>
  </si>
  <si>
    <t>https://www.linkedin.com/in/gerardajames/</t>
  </si>
  <si>
    <t>Senior Web Developer</t>
  </si>
  <si>
    <t>a. Translate design into web application
b. Develop and maintain SehatQ web platform</t>
  </si>
  <si>
    <r>
      <rPr>
        <sz val="10"/>
        <rFont val="Arial"/>
      </rPr>
      <t xml:space="preserve">a. Minimum 3 years of experience in Software Engineering (Web) with </t>
    </r>
    <r>
      <rPr>
        <b/>
        <sz val="10"/>
        <rFont val="Arial"/>
      </rPr>
      <t>ReactJS</t>
    </r>
    <r>
      <rPr>
        <sz val="10"/>
        <rFont val="Arial"/>
      </rPr>
      <t xml:space="preserve">
b. Experience with ES6, JavaScript, HTML and CSS
c. Good understanding of React lifecycle and reusable component
d. Good understanding of software engineering practices
e. Familiar with NodeJS ecosystem,  RESTful API, Familiar with Git
REQUIRED SKILL :
a. ReactJS
b. NodeJS
c. Redux
d. HTML
e. CSS</t>
    </r>
  </si>
  <si>
    <t>gerard.andrew.james@gmail.com</t>
  </si>
  <si>
    <t>TechinAsia Release</t>
  </si>
  <si>
    <t>SG Citizen</t>
  </si>
  <si>
    <t>Muhammad Luky Guratmana</t>
  </si>
  <si>
    <t>A/Nalendro</t>
  </si>
  <si>
    <t>https://www.linkedin.com/in/muhammad-luky-guratmana-601916151</t>
  </si>
  <si>
    <t>mlukyguratmana@gmail.com</t>
  </si>
  <si>
    <t>a thread from twitter</t>
  </si>
  <si>
    <t>fast learner in teamwork or individual and great in communication skill. Well-organized and able to problem solving</t>
  </si>
  <si>
    <t>Jojo Angeles</t>
  </si>
  <si>
    <t xml:space="preserve"> www.linkedin.com/in/jojoangeles</t>
  </si>
  <si>
    <t>Senior Back End Developer</t>
  </si>
  <si>
    <t>Design and develop highly scalable, reliable and fault-tolerant backend system</t>
  </si>
  <si>
    <r>
      <rPr>
        <sz val="10"/>
        <rFont val="Arial"/>
      </rPr>
      <t xml:space="preserve">1. 4+ years of experience for Restful and backend system development
2. Required Skill : </t>
    </r>
    <r>
      <rPr>
        <b/>
        <sz val="10"/>
        <rFont val="Arial"/>
      </rPr>
      <t>Ruby on Rails</t>
    </r>
    <r>
      <rPr>
        <sz val="10"/>
        <rFont val="Arial"/>
      </rPr>
      <t xml:space="preserve">
3. Have a good understanding in :
     a. Data modeling both RDBMS and NoSQL
     b. Search engine-based development for Elasticsearch and Solr
     c. Cloud infrastructure in AWS and GC</t>
    </r>
  </si>
  <si>
    <t>angeles.jojo@gmail.com</t>
  </si>
  <si>
    <t>Choo Ping Teo, Technical Lead, HOOQ</t>
  </si>
  <si>
    <t>Gopal Almelkar, Regional Head for Operations, HOOQ</t>
  </si>
  <si>
    <t xml:space="preserve">Jojo’s ability to handle multiple priority tasks and managing stakeholders was unlike any I’ve seen before and made a dramatic increase in the productivity level of her company. No matter how tense a meeting, Jojo made sure everyone left with a smile. </t>
  </si>
  <si>
    <t>Christo Hanafi</t>
  </si>
  <si>
    <t xml:space="preserve">Customer and Market Intelligence Analyst </t>
  </si>
  <si>
    <t>www.linkedin.com/in/christo-hanafi-ab9171160</t>
  </si>
  <si>
    <t>christo.valentino97@gmail.com</t>
  </si>
  <si>
    <t>Karlina Ayuningtyas, Manager @Traveloka</t>
  </si>
  <si>
    <t xml:space="preserve">Rahmi Syofia - Consumer Insight Associate </t>
  </si>
  <si>
    <t>Pei Xin Ng</t>
  </si>
  <si>
    <t>Senior Data Engineer</t>
  </si>
  <si>
    <t>Revenue Manager - Pricing</t>
  </si>
  <si>
    <t>a. Create and maintain optimal data pipeline architecture
b. Integrate up-and-coming data management and software engineering technologies into existing data structures
c.Develop set processes for data mining, data modeling, and data production</t>
  </si>
  <si>
    <t>https://www.linkedin.com/in/pei-xin-ng-15a115138/</t>
  </si>
  <si>
    <r>
      <rPr>
        <sz val="10"/>
        <rFont val="Arial"/>
      </rPr>
      <t xml:space="preserve">a. Bachelor Degree Majoring in Computer Science or other related Major
b. Min. 4 years experience as Data Engineer
c. Preferable have working experience in eCommerce or Tech company
d. Required Skill : </t>
    </r>
    <r>
      <rPr>
        <b/>
        <sz val="10"/>
        <rFont val="Arial"/>
      </rPr>
      <t>Python, AWS Glue</t>
    </r>
    <r>
      <rPr>
        <sz val="10"/>
        <rFont val="Arial"/>
      </rPr>
      <t xml:space="preserve">
e. Preferable Skill : Machine Learning, or Data Analysis with Google BigQuery and Cloud Dataflow</t>
    </r>
  </si>
  <si>
    <t>peixin9584@gmail.com</t>
  </si>
  <si>
    <t>Mei Qi Lim , Revenue Manager - Pricing @ Zuzu Hospitality</t>
  </si>
  <si>
    <t>Eugenia Clara Fendri</t>
  </si>
  <si>
    <t>Art Director / Creative Designer</t>
  </si>
  <si>
    <t>MakerLab</t>
  </si>
  <si>
    <t>https://www.linkedin.com/in/eugeniaclara/</t>
  </si>
  <si>
    <t>hello@eugeniaclara.com</t>
  </si>
  <si>
    <t>Andreas, Former VMLY&amp;R Lead, also Best Friend</t>
  </si>
  <si>
    <t>By Request</t>
  </si>
  <si>
    <t>SPass / EP</t>
  </si>
  <si>
    <t>Full Stack Data Scientist</t>
  </si>
  <si>
    <t xml:space="preserve">1. Work with stakeholders to understand their needs and leverage on data at hand to drive business solutions.
2. Assemble large, complex datasets that meet business requirements.
3. Perform data integration, consolidation and cleansing.
4. Design and implement front end reports, and guide stakeholders with reporting using data visualization &amp; business analytic services such as PowerBI
5. Support the development of guidelines, standards, and processes to ensure data quality and integrity
</t>
  </si>
  <si>
    <t>Dyah Eras Mita</t>
  </si>
  <si>
    <t>1.  &lt;3 years of experience as data engineer/data scientist/related field.
2.  Ability to work with databases and SQL scripts.
3.  Experienced in using cloud platform services (Azure/AWS/Google).
4.  Possess knowledge in handling multiple types of data (Structured, semi-structured, unstructured).
5.  Capable of working with NoSQL databases.
6.  Possess experience in business analytic services such as PowerBI.
7.  Has strong analytical skills, adopts conceptual thinking, and has decent time and task management skills
8.  Well verse in Phyton &amp; R Scripts.
9.  Has experience  using developing web applications, ETL tools, 
10. Has worked with Cloud data solutions, architecture and their interdependencies for BI and Analytics.
11. Understand the concept of Machine Learning and Problem Solving</t>
  </si>
  <si>
    <t>Senior Accounting, Tax, HRIS Product Trainer and Implementation</t>
  </si>
  <si>
    <t>InfinitiLab Sdn. Bhd.</t>
  </si>
  <si>
    <t>MEKARI (PT Mid Solusi Nusantara)</t>
  </si>
  <si>
    <t>Software House</t>
  </si>
  <si>
    <t>https://www.linkedin.com/in/dyah-eras-mita-679307108/</t>
  </si>
  <si>
    <t>https://www.jobstreet.com.my/en/job/4297811/sources/2</t>
  </si>
  <si>
    <t>dyah.mitaa@gmail.com</t>
  </si>
  <si>
    <t>Product, Accounting, Ops, Exec team, HR, People, Talent</t>
  </si>
  <si>
    <t>Devia Velicia, Product Owner Majoo</t>
  </si>
  <si>
    <t>Sally Devina Kie, Head of Learning Center</t>
  </si>
  <si>
    <t>Mita is my favorite subordinates because she always give satisfying result from whatever she is assigned to. No wonder why I love to work with her, she is very responsible, respectful and reliable. She learns things quickly, work with detail, punctual, neat in all her work and also a sincere one. She's a type of a person who has a big desire and ability to chase it, so I let her find her best pace to her dream. I really wish she could grow higher on somewhere better.</t>
  </si>
  <si>
    <t>I will need visa sponsorship for the roles outside Indonesia</t>
  </si>
  <si>
    <t>Shinta Sari Rahmadani</t>
  </si>
  <si>
    <t>Business Development Support</t>
  </si>
  <si>
    <t>PT Evi Asia Tenggara</t>
  </si>
  <si>
    <t>sari.shinta2@gmail.com</t>
  </si>
  <si>
    <t>Marketing, Sales, BD and Partnerships, Product, Design</t>
  </si>
  <si>
    <t>hr@infinitilab.com</t>
  </si>
  <si>
    <t>Tengku Raissa</t>
  </si>
  <si>
    <t>Cindy Julianti Nurul Putri, Karina Elika</t>
  </si>
  <si>
    <t>Alwi Ahdi Fahrozi</t>
  </si>
  <si>
    <t>IT Support</t>
  </si>
  <si>
    <t>DTS kominfo</t>
  </si>
  <si>
    <t>https://www.linkedin.com/in/alwiahdi/</t>
  </si>
  <si>
    <t>Full-Stack Developer</t>
  </si>
  <si>
    <t xml:space="preserve">1.Participates in the planning, analysis, creation and design
2.Build scalable and high-performance web and microservices
3.Be active and engaging team member - understand user stories and make constructive recommendations
4.Write clean, maintanable, sustainable and tested code with supporting documentation and automated unit tests
5.Collaborate with cross functional teams - including designers, developers from other teams
6.Provide third level support, as needed, to maintain production applications
7.Stay up-to-date with latest technology and industry trends
8.Advocates web and microservices development best-practices
9.Experience in managing and coaching a team </t>
  </si>
  <si>
    <t>1.Minimum of 2 years experience in writing front-end code: HTML/CSS and JavaScript
2.Minimum of 2 years experience in writing back-end code:
C# (or similar managed code, such as Java), SQL
3.Relevant degree qualification (Computer Science, Information Technology or Software Engineering) is preferred but not required Passionate in working with web technologies, and attention to detail
4.Understanding of industry standards and best practices
5.Great team player and communicator
6.Brownie points: Git, Web App, TypeScript, AngularJS/Angular</t>
  </si>
  <si>
    <t>https://www.infinitilab.com/web-developer/</t>
  </si>
  <si>
    <t>alwiahdi@gmail.com</t>
  </si>
  <si>
    <t>Elsya Ramadhani</t>
  </si>
  <si>
    <t>Arcade Indonesia</t>
  </si>
  <si>
    <t>https://www.linkedin.com/in/elsya-ramadhani-400041ba/</t>
  </si>
  <si>
    <t>Senior Front-End Developer (ReactJS)</t>
  </si>
  <si>
    <t>elsyaramgh@gmail.com</t>
  </si>
  <si>
    <t>Job Description:
We are looking for a qualified Front-End developer to join our IT Team. You will be responsible to translate our web designers’ mockups into responsive page using ReactJS. Your primary focus will be the development of all client-side, integration of server-side APIs, ensuring high performance web application and ultimately, ensuring great user experience If you are interested in creating and implementing visual and interactive elements in a web application, we want you!!
The Job:
1. Translation of designer mockups and wireframe into React front-end.
2. Develop new modules and enhance existing modules in line with the current product architecture.
3. Execute comprehensive unit testing on the modules.
4. Design mobile-based features.
5. Collaborate with back-end and web designers to improve usability of the website.
6 Optimize front-end performance to deliver smooth, and fast web pages.</t>
  </si>
  <si>
    <t>Marettadp</t>
  </si>
  <si>
    <t>Elanda Cyntia</t>
  </si>
  <si>
    <t>talent acquisition</t>
  </si>
  <si>
    <t>https://www.linkedin.com/in/elnanda-cyntia-08084114b/</t>
  </si>
  <si>
    <t>The Person:
1. Proficient understanding of HTML5, CSS3.
2. Proficient in ReactJS, with a good understanding of Redux architecture.
3. Experience with NodeJS (KOA Framework).
4. Understand CSS pre-processing platforms, such as LESS and SASS.
5. Familiar with RESTful services.
6. Able to check page performance in browser.
7. Familiar with cross-browser compatibility issues and ways to work around them.
8. Knowledge of SEO principles.
9. Back-end knowledge will be of added advantage.
10. Able to perform well in a fast-paced environment.</t>
  </si>
  <si>
    <t>eln.cyntia@gmail.com</t>
  </si>
  <si>
    <t>Cavin Agustanto, @OYO Indonesia</t>
  </si>
  <si>
    <t>Benny Rachmadin, HR Director</t>
  </si>
  <si>
    <t>Cavin Agustanto</t>
  </si>
  <si>
    <t>Employer Branding &amp; Culture</t>
  </si>
  <si>
    <t>https://www.linkedin.com/in/cavinagustanto/</t>
  </si>
  <si>
    <t>cavin.agustanto@gmail.com</t>
  </si>
  <si>
    <t>IT / CREATIVE / DESIGN</t>
  </si>
  <si>
    <t>Malaysia
(Kelana Jaya, PJ)</t>
  </si>
  <si>
    <t>Warren Leow, VP 123RF</t>
  </si>
  <si>
    <t>https://apply.workable.com/inmagine/j/19377F7FC6/</t>
  </si>
  <si>
    <t>Faris Luthfan Ramadhan</t>
  </si>
  <si>
    <t>Software Engineer - Backend</t>
  </si>
  <si>
    <t>PT. Hacktivate Teknologi Indonesia</t>
  </si>
  <si>
    <t>https://www.linkedin.com/in/farislr/</t>
  </si>
  <si>
    <t>LRFaris24@gmail.com</t>
  </si>
  <si>
    <t>Adhy Wiranata, Head IT @ hacktiv8.com</t>
  </si>
  <si>
    <t>Cindy Julianti Nurul Putri</t>
  </si>
  <si>
    <t>Business development Support</t>
  </si>
  <si>
    <t>Cohive</t>
  </si>
  <si>
    <t>https://www.linkedin.com/in/cindy-julianti-nurul-putri-863133b0/</t>
  </si>
  <si>
    <r>
      <t>Alternately, You may send in your updated CV to j</t>
    </r>
    <r>
      <rPr>
        <b/>
        <sz val="10"/>
        <rFont val="Arial"/>
      </rPr>
      <t>obs@123rf.com</t>
    </r>
    <r>
      <rPr>
        <sz val="10"/>
        <color rgb="FF000000"/>
        <rFont val="Arial"/>
      </rPr>
      <t>.
Visit our website for more information:
www.inmagine.com 
https://my.wobbjobs.com/users/companies/inmagine</t>
    </r>
  </si>
  <si>
    <t>cindy.julianti92@gmail.com</t>
  </si>
  <si>
    <t>BD and Partnerships, Finance</t>
  </si>
  <si>
    <t>Tengku Raissa (founder &amp; CEO TEDRA)</t>
  </si>
  <si>
    <t>Promsub Junmookdar</t>
  </si>
  <si>
    <t>Marketing Communication Manager</t>
  </si>
  <si>
    <t>https://th.linkedin.com/in/promsub-junmookdar-a730209a</t>
  </si>
  <si>
    <t xml:space="preserve">Full Stack Developer (MERN) </t>
  </si>
  <si>
    <t>The Job:
1. Design, develop, test, deploy, maintain and improve software, and processes for the websites.
2. Work alongside and collaborate with other IT engineers and developers on the various implementation, design and launch new features for the website/system.
3. Work in close collaboration with the product team to bounce ideas and drive business decisions
4. Plan and design overall architecture of the web application.
5. Maintain the quality of the website/system and ensure responsiveness of applications.
6. Actively seek opportunities to improve technical processes and present to the team and product owners.
7. Inspect and identify refactoring of code as well as deferring technical debt when/where applicable.
8. Design for a deploy to cloud infrastructure.
9. Fix bugs if necessary to improve the usability of website.</t>
  </si>
  <si>
    <t>The Person:
1. At least 5 years of experience in both front-end and back-end development.
2. Proficient understanding in both front-end and back-end development, as well as in:
   a. MERN stack (MongoDB, Express, React.js, Node.js).
   b. PHP, MySQL, Web markup, including HTML5, CSS3.
   c. Modern MVC frameworks (Laravel, Yii, Symfony2, Zend, etc).
   d. Cross-browser compatibility issues and ways to work around them.
   e. Source code versioning tools, such as Git/Mercurial.
3. Excellent in programming abilities.
4. Strong organizational skills to prepare a plan for producing software or websites.
5. Solid analytical skills to identify the source of any issues with products.
6. Competent problem-solvers to develop ways for correcting performance issues.</t>
  </si>
  <si>
    <t>https://apply.workable.com/inmagine/j/E7C5C72952/</t>
  </si>
  <si>
    <t>promsub@hotmail.com</t>
  </si>
  <si>
    <t>Director, M17 Services</t>
  </si>
  <si>
    <t>Vinessa Lucia Chandra</t>
  </si>
  <si>
    <t xml:space="preserve">Graphic Designer </t>
  </si>
  <si>
    <t>Big Bad wolf</t>
  </si>
  <si>
    <t>https://www.linkedin.com/in/vinessa-lucia-099513191/</t>
  </si>
  <si>
    <t>Alternately, You may send in your updated CV to jobs@123rf.com.
Visit our website for more information:
www.inmagine.com 
https://my.wobbjobs.com/users/companies/inmagine</t>
  </si>
  <si>
    <t>Web Application Developer (PHP)</t>
  </si>
  <si>
    <t>Job Description:
A spark of imagination, coupled with the magic of coding - we have quite a few wizards in the house, but we need some extra hands! We need people who can understand how different systems work, and stitch them together to build our ideal ecosystem. Do you have what it takes?
The Job:
1. Code, test and deploy sophisticated web applications.
2. Enhance and maintain existing web applications.
3. Gain exposure to the service architecture and work across the whole stack.</t>
  </si>
  <si>
    <t>vinessalucia24@gmail.com</t>
  </si>
  <si>
    <t>The Person:
1. Minimum 2+ years in PHP development experience.
2. At least 1 to 2 years experience in developing web applications with Laravel framework.
3. Knowledge of PHP, MySQL, HTML5, Javascript, Bootstrap and CSS3.
4. Knowledge of ReactJS and Elasticsearch will be an added advantage.
5. Knowledge of good coding standards to prevent security breaches will be an added advantage.
6. Highly motivated to excel and pick up emerging technologies.
7. Possesses good command of English, as well as analytical and excellent problem solving skills.
8. Able to work independently with minimal supervision.
9. Able to work well under pressure and accepts criticisms positively.
10. Pleasant disposition, and possesses a positive work attitude with good interpersonal skills.</t>
  </si>
  <si>
    <t>Ivanka Wu (fashion designer at love and flair)</t>
  </si>
  <si>
    <t>Marcus Lee (content lead and supervisor)</t>
  </si>
  <si>
    <t>Vinessa Lucia is a creator full of dedication that I have collaborated with, she's a passionate person with lot of fresh ideas and full of surprises, like an architect, she built storytelling on the bottom and began to form supportive perspectives and perceptions to reach the complete visual imagery for every work she does. I am very grateful to have collaborated on several projects with her, from graphic design to project manager. It's time to go better, further. - Tommy Tarumanegara</t>
  </si>
  <si>
    <t>i currently have a malaysian working visa, but after cancelation will need to be provided with another working visa</t>
  </si>
  <si>
    <t>Tengku Erfaradira</t>
  </si>
  <si>
    <t>https://apply.workable.com/inmagine/j/04977E3A36/</t>
  </si>
  <si>
    <t>Account Executive</t>
  </si>
  <si>
    <t>PT. Paragon Pratama Teknologi</t>
  </si>
  <si>
    <t>Tengkuerfaradira0893@gmail.com</t>
  </si>
  <si>
    <t>My friends</t>
  </si>
  <si>
    <t>Asisstant Supervisor Building Maintenance</t>
  </si>
  <si>
    <t>PT Inti Citra Agung</t>
  </si>
  <si>
    <t>https://www.linkedin.com/in/kenny-himawan-0ba12213b</t>
  </si>
  <si>
    <t>kenny_it7a@yahoo.com</t>
  </si>
  <si>
    <t>BD and Partnerships, Engineering</t>
  </si>
  <si>
    <t>My Friend</t>
  </si>
  <si>
    <t>Jeremy Oktaviano Hadi Santoso</t>
  </si>
  <si>
    <t>https://www.linkedin.com/in/jerryoktaviano/</t>
  </si>
  <si>
    <t>Job Description:
Want to know what it takes to develop a popular creative mobile suite with millions of global users? Eager to apply and experiment with the latest in mobile tech towards creating a functional end product for content creators? Ready to dabble in AI/ML and use its capabilities to push the limit for a creative mobile suite? If you find yourself excited by everything we’ve just mentioned, you need to get in touch with us this second! We’ve got just the right position for you.
The Job:
1. To develop native iOS applications in areas of photo editing for the global market.
2. To integrate Artificial Intelligence / Machine Learning within the mobile application and work with in-house data scientists.
3. To architect mobile applications for scale, reusability and reliability
4. To design, develop and make the right decisions for users at an engineering level.
5. To optimize battery and energy management for mobile applications.
6. To work in a Continuous Integration / Continuous Deployment environment, and able to prepare automated tests. Prior experience in maintaining Continuous Integration / 7. Continuous Deployment pipeline will be a bonus.
8. To maintain the codebase, continuous improvement and enhancement from an engineering and user experience perspective.
9.Requires the right technical acumen in iOS to steer, evaluate and decide what is best for the product.
To integrate API from internal and external sources.</t>
  </si>
  <si>
    <t>The Person:
1. At least 1-2 years of native mobile development experience in iOS using Objective-C or Swift.
2. Experience in maintaining a mobile app through 2 OS upgrade cycle.
3. Experience in AVFoundation, CoreAnimation, CoreGraphics and Vision Framework is desirable.
4. Experience in CoreML and TensorFlow Lite is desirable.
5. Has been or is currently involved in the development or maintenance of mobile apps with a sizeable users.
6. Good understanding and comprehension of technology and upcoming trends in the mobile industry.
7. Added advantage for candidates with experience in the following:-
   a. Energy management.
   b. Able to produce automated test scripts in XCTest, UIAutomation or common testing framework.
   c. Has worked with a CI/CD platform, with prior experience in setting up and maintaining CI/CD.</t>
  </si>
  <si>
    <t>https://apply.workable.com/inmagine/j/FDD14B4151/</t>
  </si>
  <si>
    <t>jeremynyoo@gmail.com</t>
  </si>
  <si>
    <t>Vinessa Lucia (Graphic Designer) @ BookXcess</t>
  </si>
  <si>
    <t>muhammad fikri akbar</t>
  </si>
  <si>
    <t>SIAP Social Innovation.id</t>
  </si>
  <si>
    <t>https://www.linkedin.com/in/fikbar/</t>
  </si>
  <si>
    <t>Job Description:
Want to know what it takes to develop a popular creative mobile suite with millions of global users? Eager to apply and experiment with the latest in mobile tech towards creating a functional end product for content creators? Ready to dabble in AI/ML and use its capabilities to push the limit for a creative mobile suite? If you find yourself excited by everything we’ve just mentioned, you need to get in touch with us this second! We’ve got just the right position for you.
The Job:
1. To develop Android applications using Kotlin in areas of photo post-processing, vector transformation and 2D graphics for the global market.
2. To integrate Artificial Intelligence / Machine Learning within the mobile application and work with in-house data scientists.
3. To architect mobile applications for scale, reusability and reliability.
4. To design, develop and make the right decisions for users at an engineering level.
5. To optimize battery and energy management for mobile applications.
6. To work in a Continuous Integration / Continuous Deployment environment and, able to prepare automated tests. Prior experience in maintaining Continuous Integration / 7. 7. Continuous Deployment pipeline will be a bonus.
8. To maintain the codebase, continuous improvement and enhancement from an engineering and user experience perspective.
9. Requires the right technical acumen in Android to steer, evaluate and decide what is best for the product.
10. To integrate API from internal and external sources.</t>
  </si>
  <si>
    <t>The Person:
1.Possesses a degree in Computer Science, Engineering, or a related subject.
2. At least 3 years of native mobile development experience in Android using Java and/or Kotlin.
3. Experience in maintaining a mobile app through 3 OS upgrade cycle.
4. Experience in photo post-processing, 2D graphic transformation and camera.
5. Experience in TensorFlow Lite and MLKit is desirable. Open to other popular ML technology.
6. Experience in implementing and maintaining MVVM architecture.
7. Has been or is currently involved in the development or maintenance of mobile apps that have a global reach with at least 1mil MAU.
8. Good understanding and comprehension of technology and upcoming trends in the mobile industry.
9. Added advantage for candidates with experience in the following:-
   a. Energy management.
   b. Able to produce automated test scripts in Espresso, UIAutomator or common testing framework.
   c. Has worked with a CI/CD platform, with prior experience in setting up and maintaining CI/CD.</t>
  </si>
  <si>
    <t>fikrifikbar@gmail.com</t>
  </si>
  <si>
    <t>William Hendradjadja, Cofounder @SIAP</t>
  </si>
  <si>
    <t>https://apply.workable.com/inmagine/j/C4767B785C/</t>
  </si>
  <si>
    <t>Kelvin Stanley</t>
  </si>
  <si>
    <t>https://www.linkedin.com/in/kelvin-stanley-889983b3/</t>
  </si>
  <si>
    <t>bartkelvinstanley@gmail.com</t>
  </si>
  <si>
    <t>Nadine</t>
  </si>
  <si>
    <t>Senior Engineer, DevOps</t>
  </si>
  <si>
    <t>You will be a hands-on member of a product team working alongside other teams supporting a wider platform.
 You like looking at the bigger picture and want to get involved in working with and being part of your team’s success – you want to make improvements and feel comfortable sharing ideas, even though sometimes they don’t get adopted. You take responsibility and are a self-starter that can manage your time and tasks you want to help the team learn all about cloud. You might be well versed at Microsoft Azure, or currently immersed in AWS and want to embrace something new.</t>
  </si>
  <si>
    <t>Gadiza Madhyaratri Cintamanist</t>
  </si>
  <si>
    <t>• 3+ years’ experience in a similar role
 • Self-driven, tech oriented and highly motivated DevOps.
 • You will be seen as AWS and Alibaba expert.
 • You like to question, and always seek better way to improve overall system performance, to
 ensure solution delivered is highly scalable, high performance, and most importantly is secure.
 • Provide diagnostic support, identify root causes and remediate issues related to stability and
 scalability
 • You will work at the highest levels taking the product through the entire lifecycle of analysis,
 design, build automation, test automation, deployment, and scaling.</t>
  </si>
  <si>
    <t>Venue Result Manager/IT SUPPORT</t>
  </si>
  <si>
    <t>Automotive</t>
  </si>
  <si>
    <t>https://www.linkedin.com/in/gadiza-madhyaratri-cintamanist-507435a4</t>
  </si>
  <si>
    <t>gadiza.mc@gmail.com</t>
  </si>
  <si>
    <t>Engineering, Data and analytics, HR, People, Talent</t>
  </si>
  <si>
    <t>Dien Dinasty @ Moka pos</t>
  </si>
  <si>
    <t>Satya Nugraha</t>
  </si>
  <si>
    <t>Geodetic &amp; Geomatic Engineer, Master Degree of Project Management</t>
  </si>
  <si>
    <t>PT.Satyamitra Surya Perkasa</t>
  </si>
  <si>
    <t>https://www.linkedin.com/mwlite/in/satyanugraha</t>
  </si>
  <si>
    <t>mardi.hassanuddin@carsome.com
 serena.lai@carsome.com</t>
  </si>
  <si>
    <t>Senior Engineer, R&amp;D</t>
  </si>
  <si>
    <t>•Identify initiative/project opportunities based on industry knowledge, user needs and business priorities. It is expected these will include fundamentally new opportunities and directions for the company.
 • Creatively develop novel ideas and business requirements into mature R&amp;D initiatives/projects that demonstrate concepts and prove hypotheses using a variety of techniques, from low-fidelity prototypes to audience pilots.
 • Lead requirements gathering and creative sessions with stakeholders and teams and manage change in relation to specified requirements, including assessment of impact, communication, and supporting planning and prioritisation as appropriate.
 • Monitor, summarise and report feedback from the user base or audience to measure performance of the project.</t>
  </si>
  <si>
    <t>satya_mining@yahoo.com</t>
  </si>
  <si>
    <t>• BS/MS in Computer Science or a related technical field.
 • 4+ years relevant technical experience.
 • At least 3 years of hands-on experience creating public, complex systems using multiple languages.
 • Team player with the ability to work closely with technical and non-technical personnel is required.
 • Excellent communication skills and the ability to influence others is required.
 • Ability to demonstrate excellent problem-solving skills, intellectual curiosity and a dedicated approach to achieving success is required.</t>
  </si>
  <si>
    <t>BD and Partnerships, Engineering, Data and analytics</t>
  </si>
  <si>
    <t>Wahid Cahyono, S.T</t>
  </si>
  <si>
    <t>we have the same vision to safe company revenue and doing all reaponsibilities with integrity.</t>
  </si>
  <si>
    <t>not required</t>
  </si>
  <si>
    <t>Aditya Priambudi Luhur</t>
  </si>
  <si>
    <t>F&amp;B Server</t>
  </si>
  <si>
    <t>Shangri La Barr Al Jissah</t>
  </si>
  <si>
    <t>https://www.linkedin.com/in/aditya-luhur-416403b8</t>
  </si>
  <si>
    <t>aditya.priambudi@gmail.com</t>
  </si>
  <si>
    <t>Gilang Sasmito - Social Media Twitter</t>
  </si>
  <si>
    <t>Jason Xuereb - Executive Assistant Manager at Shangri La Barr Al Jissah</t>
  </si>
  <si>
    <t>Aditya works fast and a problem solver oriented person.</t>
  </si>
  <si>
    <t>Indonesian Nationality with Oman Resident and American C1D Visa</t>
  </si>
  <si>
    <t>Nicole Ricciardi</t>
  </si>
  <si>
    <t>Senior Ops Associate</t>
  </si>
  <si>
    <t>Beam</t>
  </si>
  <si>
    <t>Senior Engineer, Full Stack</t>
  </si>
  <si>
    <t>https://www.linkedin.com/in/nicole-ricciardi-54aabb2a/</t>
  </si>
  <si>
    <t>• Utilize a hands-on and adaptable leadership style with a commitment to accountability and driving results.
 • Able to take up the role of an advocate for implementing technical best practices and development standards in the team.
 • Proficient with PHP to debug, plan, and execute business logic with minimal resources needed.
 • Proficient working with relational databases (MySQL), knowledge of schema design as well as NoSQL technologies
 • Significant experience writing and utilizing RESTful API services and performance tuning large scale applications
 • Comfortable in working in a test-driven, agile team.</t>
  </si>
  <si>
    <t>• 3-4 years of work experience after completing your undergraduate degree in Computer Science or related technical discipline
 • Have a positive attitude and exemplary work ethics
 • Proficient with Legacy to debug, plan, and execute business logic with minimal resources needed.
 • Proficient working with relational databases (MySQL), knowledge of schema design as well as NoSQL technologies
 • Significant experience writing and utilizing RESTful API services and performance tuning large scale applications;
 • Familiarity with front-end technologies such as Quasar framework and others (e.g., Angular JS, Backbone, etc.), HTML5/CSS and building mobile, responsive/adaptive applications (e.g., Flutter, Objective-C, etc.)</t>
  </si>
  <si>
    <t>ricciardin09@gmail.com</t>
  </si>
  <si>
    <t>Finance, Ops, Data and analytics</t>
  </si>
  <si>
    <t>Australia</t>
  </si>
  <si>
    <t>Alan Jiang - CEO/Founder</t>
  </si>
  <si>
    <t>Khoa -  General Council/General Manager, ANZ</t>
  </si>
  <si>
    <t>Nicole brings with her a calm energy, a positive attitude and a willingness to get her hands dirty. She played a large part in Beam's successful trial in Adelaide and will be an asset for any team.</t>
  </si>
  <si>
    <t>Shahnaz Effendie</t>
  </si>
  <si>
    <t>Project Leader Cost to Serve</t>
  </si>
  <si>
    <t>Procter &amp; Gamble (P&amp;G)</t>
  </si>
  <si>
    <t>https://www.linkedin.com/in/shahnaznurrizki/</t>
  </si>
  <si>
    <t>Senior Engineer, Mobile</t>
  </si>
  <si>
    <t>• To collaborate with other team members including the design, backend, and mobile development teams to develop great mobile applications.
 • Candidates should be highly passionate about apps, best practices in software development, technology in general and you must be eager to learn. 
 • Develop and maintain software for React Native and/or iOS and/or Android platforms.
 • Develop and maintain software for other platforms as necessary.
 • Collaborate with members of our design and engineering and teams to ensure the highest quality software products.</t>
  </si>
  <si>
    <t>• 5 years and above of professional working experience in iOS / Android / React Native development experience or equivalent.
 • For React Native focused applicants: Strong proficiency in JavaScript and/or TypeScript, and some experience with native development.
 • For iOS focused applicants: Strong proficiency in Swift and/or Objective-C, Xcode and the entire iOS development toolchain.</t>
  </si>
  <si>
    <t>shahnazeff@gmail.com</t>
  </si>
  <si>
    <t>Marketing, Sales, BD and Partnerships, Product, Finance, Ops, Data and analytics</t>
  </si>
  <si>
    <t>Vincent, Indonesia CTS Transformation Leader @ Procter &amp; Gamble (P&amp;G)</t>
  </si>
  <si>
    <t>Supriy Sengar</t>
  </si>
  <si>
    <t>Service Delivery and Sales Manager</t>
  </si>
  <si>
    <t>KGiSL</t>
  </si>
  <si>
    <t>https://www.linkedin.com/in/supriy-sengar-79520b64/</t>
  </si>
  <si>
    <t>supriy@gmail.com</t>
  </si>
  <si>
    <t>Sales, BD and Partnerships, Ops, Exec team</t>
  </si>
  <si>
    <t>• Collect and analyse feedback from customers, stakeholders.
 • Conduct competitive and market research for on-going assessment enhancement.
 • Work with senior management to create product plans and roadmaps.
 • Active cross-function engagement to ensure priorities meet business target.
 • Active participation in Scrum rituals to ensure improvement on quality and velocity in delivery.
 • Discipline in tracking and measuring releases, for on-going improvement on assigned portfolio.
 • Strategies to exceed delivery target without compromising on product quality.
 • Ensure details product requirements were captured in the form of user story.</t>
  </si>
  <si>
    <t>Saw on linkedIn</t>
  </si>
  <si>
    <t>• Candidate must possess at least Post Graduate Diploma/Professional Degree in any field.
 • Experienced in managing budget, vendor management in project delivery (value &gt;RM1 Mil).
 • Proven experience in leading a team in achieving the set business target.
 • Preferably someone with at least 8 years of experience in product management.</t>
  </si>
  <si>
    <t>I am Singapore PR</t>
  </si>
  <si>
    <t>Rishabh Nigam</t>
  </si>
  <si>
    <t>Manager - Business Analysis &amp; Audit</t>
  </si>
  <si>
    <t>MDIS Holdings (Singapore)</t>
  </si>
  <si>
    <t>https://www.linkedin.com/in/rishabh-n-6b026b23/</t>
  </si>
  <si>
    <t>rishabhnigam@ymail.com</t>
  </si>
  <si>
    <t>BD and Partnerships, Finance, Data and analytics</t>
  </si>
  <si>
    <t>online article</t>
  </si>
  <si>
    <t>Mr. Subramanian, Finance Senior Director</t>
  </si>
  <si>
    <t>Employment Pass sponsorship needed.</t>
  </si>
  <si>
    <t>Nabil Agfa Raihan</t>
  </si>
  <si>
    <t>Marketing Partnership</t>
  </si>
  <si>
    <t>http://linkedin.com/in/nabilagfar</t>
  </si>
  <si>
    <t>Nabilagfar@gmail.com</t>
  </si>
  <si>
    <t>Senior Engineer, QA</t>
  </si>
  <si>
    <t>Nabilq Annisa, Talenr Advocate @ Ekrut</t>
  </si>
  <si>
    <t>• Responsible to Department Head for ensuring each product release meets well defined high quality standards
 • Create test plans and test cases from feature descriptions by Product Management and discussion with Developers
 • Drive testing automation, scripting and regression testing utilizing offshore test automation engineers
 • Execute manual and automated test cases, analyze results, report and track defects, verify fixes and perform follow-up work to resolve issues.
 • Participate in the setup, configuration, and maintenance of hardware test environments</t>
  </si>
  <si>
    <t>• 4-6 years of relevant QA experience
 • 1-2 years of QA lead experience
 • Understanding of testing automation, scripting, regression testing and commonly used tools
 • Understanding of software release process, particularly Agile methodologies
 •Highly self-motivated top performer</t>
  </si>
  <si>
    <t>Nur Syahirah Azali</t>
  </si>
  <si>
    <t>Product Owner Retail &amp; Campaign</t>
  </si>
  <si>
    <t>https://www.linkedin.com/in/syahirah-azali/</t>
  </si>
  <si>
    <t>syera.azali@gmail.com</t>
  </si>
  <si>
    <t>Josepha Dambul, QA Engineer</t>
  </si>
  <si>
    <t>Keshan Arunasalam, Head of Payments, Partners and Program Management</t>
  </si>
  <si>
    <t>John Patrick Manuwu</t>
  </si>
  <si>
    <t>https://www.linkedin.com/in/johnpatrixx/</t>
  </si>
  <si>
    <t>Project Manager, IOT / Emerging technology Startup, 
work-level chinese preferred</t>
  </si>
  <si>
    <t xml:space="preserve">We are looking for a Project manager for an Industrial Supply Chain project. The client is a Fortune 500 sustainability company. The project is a Software platform that uses emerging technologies (Blockchain and IOT/5G). You will lead the customer interaction in English and Mandarin to implement a supply chain web application with blockchain backend and integration to IOT. You will be the scrum master of the project and lead the developement team. </t>
  </si>
  <si>
    <t>1+ years as project manager or product manager experience
Experience with Agile methodologies (SCRUM, Jenkins)
Work-level Mandarin (strongly preferred), need excellent english
Preferred: Technical Background: developer experience or computer science degree
Preferred: Experience with CI/CD Tools (GIT, Kubernetes, Docker, Jenkins, Bamboo ...)</t>
  </si>
  <si>
    <t>Blockdynamics</t>
  </si>
  <si>
    <r>
      <t xml:space="preserve">Engineering &amp; Consulting
Possible product future in </t>
    </r>
    <r>
      <rPr>
        <b/>
        <sz val="10"/>
        <rFont val="Arial"/>
      </rPr>
      <t>Smart Cities / Supply Chain</t>
    </r>
  </si>
  <si>
    <r>
      <rPr>
        <b/>
        <sz val="10"/>
        <rFont val="Arial"/>
      </rPr>
      <t xml:space="preserve">Remote OK
</t>
    </r>
    <r>
      <rPr>
        <sz val="10"/>
        <color rgb="FF000000"/>
        <rFont val="Arial"/>
      </rPr>
      <t>(client in HK + mainland China, future clients APAC)</t>
    </r>
  </si>
  <si>
    <t>johnpatrixx@gmail.com</t>
  </si>
  <si>
    <t>https://angel.co/company/blockdynamics/jobs/542501-product-manager-for-enterprise-supply-chain-application-blockchain-iot-fluent-chinese-required</t>
  </si>
  <si>
    <t>Laos</t>
  </si>
  <si>
    <t>Some Twitter Account</t>
  </si>
  <si>
    <t>Ary Mozta, VP of Storytelling and Communication Nodeflux, Devi Andriani VP of People Nodeflux</t>
  </si>
  <si>
    <t>"The #authentic one. Mr John Patrick. The one who taught me how to stand solid on your ground, and also definitely the one to go-to when my #popcultured brain couldn’t catch up with them #engineering jargons!" Nariswari Yudianti - Corporate Branding and Public Relation Nodeflux</t>
  </si>
  <si>
    <t>Ade Rizaldy Bastian</t>
  </si>
  <si>
    <t>https://www.linkedin.com/in/ade-r-bastian/</t>
  </si>
  <si>
    <t>Send your CV to basile@blockdynamics.io</t>
  </si>
  <si>
    <t>ade.rizaldy.bastian@gmail.com</t>
  </si>
  <si>
    <t>Associate</t>
  </si>
  <si>
    <t>Aviandri Hidayat, VP of Product @ Mekari</t>
  </si>
  <si>
    <t>Vijayaelakya Aroulanandam</t>
  </si>
  <si>
    <t>IT (Business)Analyst, Application/System analyst</t>
  </si>
  <si>
    <t>Singapore Telecommunications</t>
  </si>
  <si>
    <t>Social Media and Content Marketing Lead</t>
  </si>
  <si>
    <t>https://www.linkedin.com/in/vijayaelakya-aroulanandam-47531254/</t>
  </si>
  <si>
    <r>
      <t xml:space="preserve">We are looking for a creative and strategic thinker Social Media &amp; Content Marketing Lead who loves to message and write. You'll be responsible to implement strategies and tactics to grow, retain, and engage our social media followers and help convert them into leads, customers, and advocates of our company. This person must have an innate sense of what’s interesting and relevant among various audiences, and have a proven track record of growing audiences, turning followers into customers, and customers into advocates.
</t>
    </r>
    <r>
      <rPr>
        <b/>
        <sz val="10"/>
        <rFont val="Arial"/>
      </rPr>
      <t xml:space="preserve">1. Social Media &amp; Content Marketing:
</t>
    </r>
    <r>
      <rPr>
        <sz val="10"/>
        <color rgb="FF000000"/>
        <rFont val="Arial"/>
      </rPr>
      <t xml:space="preserve">- Provide key support for our social media &amp; content marketing strategy, including content coordination, development, quality review, and promotion.
- Manage content strategy, maintain editorial calendar and publishing deliverables.
- Maintain our brand and voice standards across all communications.
</t>
    </r>
    <r>
      <rPr>
        <b/>
        <sz val="10"/>
        <rFont val="Arial"/>
      </rPr>
      <t>2. Analysis:</t>
    </r>
    <r>
      <rPr>
        <sz val="10"/>
        <color rgb="FF000000"/>
        <rFont val="Arial"/>
      </rPr>
      <t xml:space="preserve"> Analyze social media reporting, provide management with strategic recommendations for improvements and execute profile optimization and new campaigns to increase reach, engagement, web traffic and new/existing patient inquiries from social media.
</t>
    </r>
    <r>
      <rPr>
        <b/>
        <sz val="10"/>
        <rFont val="Arial"/>
      </rPr>
      <t>3. Leadership:</t>
    </r>
    <r>
      <rPr>
        <sz val="10"/>
        <color rgb="FF000000"/>
        <rFont val="Arial"/>
      </rPr>
      <t xml:space="preserve"> Recruit  and mentor a Social Media &amp; Content Marketing team to build and achieve the target.
4. Routinely make a daily report to the Head of Marketing based on social media &amp; content marketing activities.</t>
    </r>
  </si>
  <si>
    <t xml:space="preserve">1. 2 years experience and have a proven track record of managing progressively complex projects in a Social Media &amp; Content Marketing environment 
2. Excellent communicator and creative thinker, with an ability to use data and intuition to inform decisions
3. Experience with a content management system and social media management tools
4. Fluent in English, both spoken and written - an excellent communicator, able to communicate and build rapport effectively with all members of the organization.
</t>
  </si>
  <si>
    <t>Zenius</t>
  </si>
  <si>
    <t>Education Technology (Ed-Tech)</t>
  </si>
  <si>
    <t>https://www.kalibrr.id/c/zenius-education/jobs/152171/head-of-social-media-and-content-marketing?similar_job_code=0&amp;job_ref=&amp;app_source=company-page</t>
  </si>
  <si>
    <t>vijearoul05@gmail.com</t>
  </si>
  <si>
    <t>Engineering, Product, Ops</t>
  </si>
  <si>
    <t>Gail Lau Heyday</t>
  </si>
  <si>
    <t>Authorized to work in Singapore</t>
  </si>
  <si>
    <t>Nathaniel Lekatompessy</t>
  </si>
  <si>
    <t>Project-Based Associate</t>
  </si>
  <si>
    <t>Disrupto Society</t>
  </si>
  <si>
    <t>https://www.linkedin.com/in/nathaniellekatompessy/</t>
  </si>
  <si>
    <t>Apply via the URL link or send CV to adlina.aufarani@zeniuseducation.com</t>
  </si>
  <si>
    <t>nathaniellekatompessy@gmail.com</t>
  </si>
  <si>
    <t>Marketing, Sales, BD and Partnerships, Finance, Exec team, HR, People, Talent</t>
  </si>
  <si>
    <t>Elena Lie @ NAFAS</t>
  </si>
  <si>
    <t>Hari Purnomo (Director of PEFINDO), Professor Daniel McQuade (Columbia Business School)</t>
  </si>
  <si>
    <t>Muhammad Imam Fadhli</t>
  </si>
  <si>
    <t>Senior Account Executive</t>
  </si>
  <si>
    <t>PT MOKA TEKNOLOGI INDONESIA</t>
  </si>
  <si>
    <t>https://id.linkedin.com/in/muhammad-imam-fadhli-37261182</t>
  </si>
  <si>
    <t>Brand Communication and Public Relation Lead</t>
  </si>
  <si>
    <r>
      <t xml:space="preserve">We are looking for a Branding Communication &amp; PR Lead with at least 5 years of brand-building experience, especially in the educational sector. The Brand Communication &amp; PR Lead will lead product brand development and the public relations team in continually enhancing the brand images, market awareness, and multi-channel communications. The ideal candidate is a smart strategist, with the ability to stretch and apply the principles of brand building across sectors, partnering with sector experts for depth of knowledge.
</t>
    </r>
    <r>
      <rPr>
        <b/>
        <sz val="10"/>
        <rFont val="Arial"/>
      </rPr>
      <t xml:space="preserve">1. Brand Communication:
</t>
    </r>
    <r>
      <rPr>
        <sz val="10"/>
        <color rgb="FF000000"/>
        <rFont val="Arial"/>
      </rPr>
      <t xml:space="preserve">- Provides strategic input for improvements and opportunities to strengthen the brands that results in increased sales, brand loyalty, and improved market share.
- Manages development of style guides, templates, and materials while keeping the company’s vision, mission, and objectives in mind.
</t>
    </r>
    <r>
      <rPr>
        <b/>
        <sz val="10"/>
        <rFont val="Arial"/>
      </rPr>
      <t xml:space="preserve">2. Public Relation:
</t>
    </r>
    <r>
      <rPr>
        <sz val="10"/>
        <color rgb="FF000000"/>
        <rFont val="Arial"/>
      </rPr>
      <t xml:space="preserve">- Developing and maintaining PR strategy with media representatives and partner organizations
- Monitoring press stories relating to the company and its brand and maximizing opportunities for positive PR
</t>
    </r>
    <r>
      <rPr>
        <b/>
        <sz val="10"/>
        <rFont val="Arial"/>
      </rPr>
      <t>3. Leadership:</t>
    </r>
    <r>
      <rPr>
        <sz val="10"/>
        <color rgb="FF000000"/>
        <rFont val="Arial"/>
      </rPr>
      <t xml:space="preserve"> Recruit  and mentor a Social Media &amp; Content Marketing team to build and achieve the target.
4. Routinely make a daily report to the Head of Marketing based on Brand Communication &amp; PR team activities.</t>
    </r>
  </si>
  <si>
    <t xml:space="preserve">1. 5 years experience in the communications field 
2. A “customer first” mindset to think, feel and act like a member of our audience and community.
3. An excellent understanding of the media on a national and regional level.
4. In-depth knowledge and understanding of channel diversity knowledge and what best strategy can be deployed in different scenarios.
5. Expertise on all matters relating to marketing, public relations and communications. 
6. Fluent in English, both spoken and written - an excellent communicator, able to communicate and build rapport effectively with all members of the organization.
</t>
  </si>
  <si>
    <t>Send CV to adlina.aufarani@zeniuseducation.com</t>
  </si>
  <si>
    <t>imamfadhlimuhammad@gmail.com</t>
  </si>
  <si>
    <t>Benny Rachmadin, HR Director @ OYO Rooms</t>
  </si>
  <si>
    <t>Karlie Chung</t>
  </si>
  <si>
    <t xml:space="preserve">Graphic And UX/UI designer </t>
  </si>
  <si>
    <t xml:space="preserve">Landor </t>
  </si>
  <si>
    <t xml:space="preserve">www.linkedin.com/in/karliechungtk </t>
  </si>
  <si>
    <t>We are looking for a Digital Marketing Analyst that will be a key role in transforming Marketing into a data-driven, data-confident, and highly efficient team. In this role, you'll be responsible to assist the marketing team in optimizing digital campaigns and website experiences through analyzing performance metrics, data, and trends. This person is experienced in using real-time analysis to inform and influence daily business and product decision-making.
1. Use website analytics tools and data to evaluate website performance and present recommendations based on traffic trends for improving user journey/site conversion.
2. Collaborate with cross-functional teams to drive the analysis of key business/marketing trends and extract insights to help the team make the best decisions about its programs and investments.
3. Report on organization performance utilizing third-party reporting and visualization tools (e.g.: Google Analytics, Google Tag Manager, Adobe Analytics, etc)</t>
  </si>
  <si>
    <t xml:space="preserve">- 1+ years of proven marketing analytics experience or web analytics/measurement experience
- Deep knowledge of web analytics tools (e.g.: Google Analytics, Google Tag Manager, Adobe Analytics, etc).
- Ability to examine large and varied raw data and extract actionable insights.
- Fluent in English, both spoken and written - an excellent communicator, able to communicate and build rapport effectively with all members of the organization.
</t>
  </si>
  <si>
    <t>Hello@karliechung.wokr</t>
  </si>
  <si>
    <t>Endah S</t>
  </si>
  <si>
    <t>The Keranjang Bali</t>
  </si>
  <si>
    <t>https://www.linkedin.com/in/endah-s-889416162/</t>
  </si>
  <si>
    <t>User Growth Analyst</t>
  </si>
  <si>
    <t>1. Conduct periodic analyses of quantitative and qualitative data, to assess how user engage with our product also for new user acquisition and activation
2. Carry out deep-dive analysis to predictive customer behavior, optimize the customer life-cycle, drive customer engagement, and enable long term retention and growth.
3. Develop dashboards to ensure data integrity and accuracy to be able to draw actionable insights, with limited or no direction
4. Work with the product and research team to help monitor and drive user growth.</t>
  </si>
  <si>
    <t xml:space="preserve">1. 2 years experience work in Social Media Analytics or relevant roles
2. Excellent knowledge of Instagram, Facebook, Twitter, Tik Tok, and other social media best practices and how each platform can be deployed in a different strategy
3. Expertise with social media analytics tools like Iconosquare, YouTube Analytics, and Facebook Ads Manager
4. Knowledge of the nuances of successful content marketing across different social media
5. Fluent in English, both spoken and written - an excellent communicaton
</t>
  </si>
  <si>
    <t>endahsulisthyani@gmail.com</t>
  </si>
  <si>
    <t>https://www.kalibrr.id/c/zenius-education/jobs/150373/user-growth-analyst?similar_job_code=0&amp;job_ref=&amp;app_source=company-page</t>
  </si>
  <si>
    <t>Assia Kasdi</t>
  </si>
  <si>
    <t>WISSCOM AEROSPACE LIMITED</t>
  </si>
  <si>
    <t>https://www.linkedin.com/in/assia-kasdi-28155665/</t>
  </si>
  <si>
    <t>assia.kasdi@gmail.com</t>
  </si>
  <si>
    <t>Product, Data and analytics</t>
  </si>
  <si>
    <t>Arvin S.</t>
  </si>
  <si>
    <t>Foreigner</t>
  </si>
  <si>
    <t>Yudis Thea Marga Tuasamu</t>
  </si>
  <si>
    <t>Im Nnot engineer</t>
  </si>
  <si>
    <t>MODANA.ID (PT Karuna Karyananta Nusantara)</t>
  </si>
  <si>
    <t>Yudis Tuasamu</t>
  </si>
  <si>
    <t>ytuasamu@gmail.com</t>
  </si>
  <si>
    <t>Marketing, Sales, BD and Partnerships, Product, Data and analytics</t>
  </si>
  <si>
    <t>Adhika Lim (VP Project @Modana.id)</t>
  </si>
  <si>
    <t>Welly +62 818-381-388</t>
  </si>
  <si>
    <t>+62 818-749-492</t>
  </si>
  <si>
    <t>Kinanti Hayuning Tyas Bandjar</t>
  </si>
  <si>
    <t>Senior Software Quality Assurance</t>
  </si>
  <si>
    <t>Fore Coffee</t>
  </si>
  <si>
    <t>https://www.linkedin.com/in/kinanti-hayuning-tyas-bandjar-b14515173/</t>
  </si>
  <si>
    <t>kinantibandjar@gmail.com</t>
  </si>
  <si>
    <t>alif akbarsyah</t>
  </si>
  <si>
    <t xml:space="preserve">SEM (Search Engine Marketing) Specialists
</t>
  </si>
  <si>
    <t>We are looking for a SEM Specialist with at least 1 year of proven experience as Search Engine Marketing. In this role, you'll be responsible for formulating a bid and keyword strategies, as well as monitor, test, and adjust campaigns to raise click-through and conversion rates. The ideal candidate has proficient knowledge in Search, Display, and Video Advertising, also has strong written and verbal skills.
1. Creating, managing and optimizing Google Ads campaigns and other SEM initiatives - including Paid Search, Display and Video advertising.
2. Perform In-depth data analysis to develop actionable insights and recommendations for future campaigns
3. Identify opportunities to improve customer experience and conversion funnel for paid campaigns.
4. Develop optimal attribution and measurement models to ensure that our paid advertising presents a strong ROI.</t>
  </si>
  <si>
    <t>Anharry Fajrinsyah Pulungan</t>
  </si>
  <si>
    <t>Creative Lead</t>
  </si>
  <si>
    <t>https://www.linkedin.com/in/anharrypulungan/</t>
  </si>
  <si>
    <t xml:space="preserve">- 1+ years of experience creating and optimizing large paid search (SEM) campaigns
- Experience with Google Analytics, Google Tag Manager, and other third-party SEM tools
- Strong ability to craft engaging campaigns to target markets
- Skilled at implementing optimization strategies and tests for paid media campaigns
- Fluent in English, both spoken and written - an excellent communicator, able to communicate and build rapport effectively with all members of the organization.
</t>
  </si>
  <si>
    <t>anharry.f@gmail.com</t>
  </si>
  <si>
    <t>Teachers' Upskilling Lead</t>
  </si>
  <si>
    <t>We are looking for a Teachers’ Upskilling Lead who is passionate about teacher development content, with at least 2 years of experience working in universities or adult learning institutions. If you are interested in contributing to better education by managing and developing our teacher development content that can be implemented in the classroom, this challenge is for you.
1. Teacher Upskilling: Manage the production of modules (in forms of videos) and corresponding infographics and content bullet points to the module videos.
2. Leadership: Recruit, lead, and mentor a Teacher Upskilling team to build and execute the plan.
3. Analysis: Conduct periodic analyses of quantitative and qualitative data with external teachers’ development experts for module development and finalize the model of involvement for each specific individual.
4. Routinely make a daily report to the Head of Classroom-based on teacher upskilling activities.</t>
  </si>
  <si>
    <t>1. 2 years of experience working in universities or adult learning institutions, preferably in an institution that has conducted in-house online learning.
2. Have knowledge of K-12 teachers’ profession and teachers’ professional development program.
3. Fluent in English, both spoken and written - an excellent communicator, able to communicate and build rapport effectively with all members of the organization</t>
  </si>
  <si>
    <t>https://www.kalibrr.id/c/zenius-education/jobs/147012/teachers-upskilling-lead?similar_job_code=0&amp;app_source=company-page</t>
  </si>
  <si>
    <t>Boon</t>
  </si>
  <si>
    <t>Lecturer</t>
  </si>
  <si>
    <t>Monash University</t>
  </si>
  <si>
    <t>https://www.linkedin.com/in/boonteo</t>
  </si>
  <si>
    <t>boonmteo@gmail.com</t>
  </si>
  <si>
    <t>joined a webinar and was given this form from one of the attendees</t>
  </si>
  <si>
    <t>Associate Prof Chris Thompson</t>
  </si>
  <si>
    <t>Singaporean citizen</t>
  </si>
  <si>
    <t>Akand Sitra</t>
  </si>
  <si>
    <t>Regional Manager</t>
  </si>
  <si>
    <t>FIITJEE</t>
  </si>
  <si>
    <t>https://www.linkedin.com/in/akandsitra/</t>
  </si>
  <si>
    <t xml:space="preserve">Assistant Outlet Manager, Subang Jaya (WORQ Coworking Space)  </t>
  </si>
  <si>
    <t xml:space="preserve">Ultimately, this job boils down to one thing- ensuring that our outlet is at its best. As a young startup, this is a critical position to fill, since you’ll be the driving force behind our success or… failure.
You’ll be in charge of WORQ’s outlets in Malaysia. From operations to execution, to make sure that we’re able to hit maximum efficiency, which will fuel our expansion throughout Southeast Asia.
Daily operations, revenue of the outlet, maintenance and member satisfaction etc all fall under you. Don’t worry, you won’t be doing it alone!  
You’ll also be responsible for growing and managing your army of rock star front desk heroes and community managers. This will become a crucial part of your job as we expand beyond our borders.
To succeed in this role, you’ll need to be able to:
-Oversee operations of the outlet and come up with ideas that will help your team be even better
-Manage any complaints, implement solutions and consistently engage with our members
-Analyze and resolve problems in a timely and accurate matter
-Manage sales of the outlet to ensure all our goals are met
-Manage an amazing outlet team and work to establish a supportive and team-oriented environment
</t>
  </si>
  <si>
    <t>akand.sitra@gmail.com</t>
  </si>
  <si>
    <t>Marketing, Sales, BD and Partnerships, Engineering, Product, Finance, Ops, Exec team</t>
  </si>
  <si>
    <t>Bernadette Cho, EF</t>
  </si>
  <si>
    <t>Bonus points if you have:
-An entrepreneurial mindset
-Managed an outlet team before
-A wide network of SMEs and potential customers
-Real estate experience, especially involving tenants (e.g. malls and office rentals)
-A sharp mind and positive attitude</t>
  </si>
  <si>
    <t xml:space="preserve">WORQ Coworking Space </t>
  </si>
  <si>
    <t>Ramya Ganesan</t>
  </si>
  <si>
    <t xml:space="preserve">Coworking Space , Business Community </t>
  </si>
  <si>
    <t>Corporate Venture Manager</t>
  </si>
  <si>
    <t xml:space="preserve">Subang Jaya, Malaysia </t>
  </si>
  <si>
    <t>Tata Communications Limited</t>
  </si>
  <si>
    <t>https://worq.space/coworking-space/subang/</t>
  </si>
  <si>
    <t>https://www.linkedin.com/in/ramya-ganesan-b6621158/</t>
  </si>
  <si>
    <t>Rganesan@scu.edu</t>
  </si>
  <si>
    <t>you can send us your Cover letter and CV - angeline@worq.space / hr@worq.space</t>
  </si>
  <si>
    <t>Ronald Angsiy, Corporate Venture Manager</t>
  </si>
  <si>
    <t xml:space="preserve">Ramya is the unique combination of someone with technical competency along with emotional maturity that will definitely build a positive culture in any organization she is affiliated with. </t>
  </si>
  <si>
    <t>Currently on F1 and can work on CPT/OPT</t>
  </si>
  <si>
    <t>Naren V</t>
  </si>
  <si>
    <t>DevOps (and Fullstack) Engineer</t>
  </si>
  <si>
    <t>www.linkedin.com/in/narenag</t>
  </si>
  <si>
    <t xml:space="preserve">Head of Revenue, Subang Jaya (WORQ Coworking Space) </t>
  </si>
  <si>
    <t xml:space="preserve">Job Description :
-Managing the Sales Team and ensuring that sales number are meet
-Source, attract and closing deals with anchor tenants
-Building and maintaining strong customer relationship
-Develop and execute strategic planning to achieve sales target and expanding our customer base
-Partnering with existing and potential customers to understand their business needs and objective
-Ad hoc projects as assigned by Management
</t>
  </si>
  <si>
    <t>Job Requirement(s):
-Candidate to possess a Degree in Business Administration or equivalent
-At least 7 years of experience is required for this position
-Proven track record on sales experience - meeting or exceeding given targets
-Ability to drive sales from planning to closing stage
-Excellent communication, presentation, negotiation and  listening skills
-Self-starter individuals with a strong drive to achieve
-Must have good communication skills and strong command in spoken and written english language</t>
  </si>
  <si>
    <t>naren2893@gmail.com</t>
  </si>
  <si>
    <t>Katrina, CEO @ Xen Technologies</t>
  </si>
  <si>
    <t>Serhat Artun, Lead Developer @ Xen Technologies</t>
  </si>
  <si>
    <t>Tanadet Chuangkeavisedd</t>
  </si>
  <si>
    <t xml:space="preserve">Marketing lead Thailand </t>
  </si>
  <si>
    <t>HMD Global, New chapter of Nokia Android smartphone</t>
  </si>
  <si>
    <t>https://www.linkedin.com/in/tanadet-chuangkeavisedd-b95bb659/</t>
  </si>
  <si>
    <t>phamie99@gmail.com</t>
  </si>
  <si>
    <t>Giulia Baiocchi</t>
  </si>
  <si>
    <t>Director of SEA, India and Australia (Sales &amp; Operations)</t>
  </si>
  <si>
    <t>Branch Metrics</t>
  </si>
  <si>
    <t>https://www.linkedin.com/in/giulia-baiocchi/</t>
  </si>
  <si>
    <t>hoyplan@gmail.com</t>
  </si>
  <si>
    <t>Technical Product Owner</t>
  </si>
  <si>
    <t xml:space="preserve">Aliza Knox, Head of APAC @ Cloudflare </t>
  </si>
  <si>
    <t>Ramsey Pryor, VP, Head of International Expansion and Sales at Branch</t>
  </si>
  <si>
    <t>"I’ve had the privilege of working with Giulia as her direct manager for the past two years, and during that time she has earned my respect and recommendation through nothing short of consistent hard work and stellar sales results. She’s fearless, extremely global minded, and is an asset to any tech company that is looking to enter new markets across Asia, Europe and LATAM. During her tenure, her sales team exceeded their targets nearly every quarter, and had the most consistent and reliable results of any sales pod at Branch. Giulia is extremely collaborative, flexible, and embodies a growth mindset. She seeks out feedback constantly, and is always looking for ways to grow.I’ll miss having her on the team, would hire her again without hesitation, and am happy to take more detailed reference calls on her behalf.”</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</si>
  <si>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 xml:space="preserve">
What you will do:</t>
    </r>
    <r>
      <rPr>
        <sz val="10"/>
        <color rgb="FF000000"/>
        <rFont val="Arial"/>
      </rPr>
      <t xml:space="preserve">
- Ensure the top quality of our web and mobile applications to exceed our clients' expectations.
- Manage effectively a product lifecycle from specification through delivery and maintenance.
- Align the product vision with the clients' team and stakeholders.
- Communicate constantly with clients.
- Prepare product specifications, define and plan user stories for the developers, design test cases, and test features.
- Collaborate with the senior team to define the internal processes and initiatives to help the company accomplish its mission.</t>
    </r>
  </si>
  <si>
    <t xml:space="preserve">I am on PEP (Personalised Employment Pass) that allows me to work in Singapore, and also held an Italian passport. </t>
  </si>
  <si>
    <t>- 4 years or more of professional experience in a similar role.
- Professional software development experience. 
- Degree in Computer Science or related fields is preferred.
- Passion and experience in web and mobile applications, startups and cutting edge technology.
- Not being afraid to roll up your sleeves to get things done.
- Understanding of agile development.
- High attention to details.
- Ability to organize your own work and create work for others.
- Looking for a leadership role, hence soft skills such as negotiation and evaluating/proposing creative alternatives are required.
- Very articulate, opinionated, decisive and is at ease to interact with clients.
- Willing to relocate to Bangkok, Thailand.</t>
  </si>
  <si>
    <t>Albert Yunarto</t>
  </si>
  <si>
    <t>Sales Engineer</t>
  </si>
  <si>
    <t>Nimble</t>
  </si>
  <si>
    <t>https://www.linkedin.com/in/albertyunarto/</t>
  </si>
  <si>
    <t>Software Developer
Product Builder</t>
  </si>
  <si>
    <t xml:space="preserve">- Bangkok (Thailand)
</t>
  </si>
  <si>
    <t>https://jobs.nimblehq.co/o/technical-product-owner-11?source=sea</t>
  </si>
  <si>
    <t>albertyunarto@gmail.com</t>
  </si>
  <si>
    <t>Sales, Engineering, Ops</t>
  </si>
  <si>
    <t>Giulia Baiocchi GM of Branch SEA</t>
  </si>
  <si>
    <t>Stas Zhukovskiy, Director of Solutions and Sales Engineering EMEA and APAC. Neil Ma, Sales Engineer Branch</t>
  </si>
  <si>
    <t xml:space="preserve">Albert has a good mix of business acumen and technical aptitude, making him an ideal candidate for Sales or Solutions Engineering. I find the way Albert communicates with the clients, especially how he delivers bad news to them, very professional and comforting. He is skilled, efficient, and thoughtful. </t>
  </si>
  <si>
    <t>Permanent resident in Singapore</t>
  </si>
  <si>
    <t>Nicky Yo</t>
  </si>
  <si>
    <t>Enterprise Sales Development Representative</t>
  </si>
  <si>
    <t>https://www.linkedin.com/in/nickyyo/</t>
  </si>
  <si>
    <t>You can apply directly via the provided job link or contact us by email adress: work@nimblehq.co</t>
  </si>
  <si>
    <t>nickyyo@outlook.com</t>
  </si>
  <si>
    <t xml:space="preserve">Giulia Baiocchi - Sales Director for SEA @ Branch </t>
  </si>
  <si>
    <t>Giulia Baiocchi - Sales Director for SEA</t>
  </si>
  <si>
    <t>N/A - SG Citizen</t>
  </si>
  <si>
    <t>Tiffany Chan</t>
  </si>
  <si>
    <t>Regional Recruiter APAC</t>
  </si>
  <si>
    <t>https://www.linkedin.com/in/tiffany-chan-9404b5a7/</t>
  </si>
  <si>
    <t>Senior UX/UI Designer</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</si>
  <si>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 xml:space="preserve">
What you will do:</t>
    </r>
    <r>
      <rPr>
        <sz val="10"/>
        <color rgb="FF000000"/>
        <rFont val="Arial"/>
      </rPr>
      <t xml:space="preserve">
- You will work in a project squad with a Product Owner and a development team (2-3 developers). 
- Work closely with the Product Owner to make sure the product vision is aligned with the clients' needs and assist in design discussions with clients. Most of the client interfacing is done by the Product Owner.
- Design beautiful and usable world-class web and mobile applications for our clients.
- Create User Journeys, Workflows, and Wireframes for the product we build for our clients.
- Perform User Experience Research to maximize the market-fit of the product we build for our clients.
- Learn new tools and techniques so that you are able to adapt to the evolving needs of our clients.
- Collaborate with other team members to define the internal processes and initiatives to help the company accomplish its mission. Our handbook has been written by the whole team.</t>
    </r>
  </si>
  <si>
    <t>chanlayhwee@hotmail.com</t>
  </si>
  <si>
    <t>Fritz Mercyano Faniel Gultom</t>
  </si>
  <si>
    <t>Quality Assurance/Business Analyst</t>
  </si>
  <si>
    <t>IDStar</t>
  </si>
  <si>
    <t>https://www.linkedin.com/in/nino-gultom-51752012a/</t>
  </si>
  <si>
    <t>- At least 3 years of professional design experience. 
- Ability to work independently and take ownership of design projects.
- Master in your toolset: Sketch, Figma, Illustrator, or Photoshop. If you do not have experience in some of these tools, you must be open to learn and work on them.
- Constantly keeping updated with the latest design trends.
- Being comfortable working with engineers and product managers.
- Confidence in communicating in English.
- Willing to relocate to Bangkok, Thailand or Ho Chi Minh, Vietnam.</t>
  </si>
  <si>
    <t xml:space="preserve">- Bangkok, Thailand
- Ho Chi Minh, Vietnam </t>
  </si>
  <si>
    <t>https://jobs.nimblehq.co/o/senior-uxui-designer-8?source=sea</t>
  </si>
  <si>
    <t>nino_gultom@yahoo.com</t>
  </si>
  <si>
    <t>Bani Ananda</t>
  </si>
  <si>
    <t>Anuja Tandon</t>
  </si>
  <si>
    <t>Finquest.</t>
  </si>
  <si>
    <t>https://www.linkedin.com/in/anuja-tandon-6143a87b/</t>
  </si>
  <si>
    <t>anujatondon@gmail.com</t>
  </si>
  <si>
    <t>Devika Mukherjee, Post Doctoral Research Fellow, @NUS</t>
  </si>
  <si>
    <t>Haig Yapoudjian, Associate Client Director; Alexandre Claudon, Data Manager</t>
  </si>
  <si>
    <t xml:space="preserve">Haig Yapoudjian: Anuja is an encyclopedia of Finquest. She is the go-to person for everything related to product development, research development, client team process and G=Finquest's data coverage and quality analysis; Alexandre Claudon: It has always been a pleasure to work with you - determination, clear mind and a bit of the "5 whys" have been key factors to improve our portal and processes </t>
  </si>
  <si>
    <t>Web Developer (Mid-Senior Level)</t>
  </si>
  <si>
    <t>EP Holder</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</si>
  <si>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What you will do:</t>
    </r>
    <r>
      <rPr>
        <sz val="10"/>
        <color rgb="FF000000"/>
        <rFont val="Arial"/>
      </rPr>
      <t xml:space="preserve">
- You will be an active member or lead a team of developers in a project squad. We have a wide range of project sizes.
- Decide which technologies are going to be used for front-end, back-end and define the overall architecture.
- Work closely with the Product Owner to make sure the backlog is efficiently planned and occasionally assist in technical discussions with clients. Most of the client interfacing is done by the Product Owner.
- Write clean, composable, and maintainable code as you develop world-class products for our clients.
- Write automated tests to build and maintain the product we build for our clients.
- Do code reviews with your squad members.
- Learn new technologies languages like Ruby, Go, or Elixir, and techniques so that you are able to adapt to the evolving needs of our clients.
- Knowledge sharing through team rituals.
- Collaborate with other team members to define the internal processes and initiatives to help the company accomplish its mission. Our handbook has been written by the whole team.</t>
    </r>
  </si>
  <si>
    <t>Andre Akbar Kurnia</t>
  </si>
  <si>
    <t>- 2 years or more of professional web development experience. Experience in Ruby, JavaScript or Go is ideal. If you do not have experience in these stacks, you must be open to learn and work on them. If you have advanced experience in PHP or Python and want to step up your game learning another language or two, this is the right place for you.
- Comfortable working both on frontend and backend.
- At least basic experience with a modern JavaScript framework like React JS/Redux, Vue JS or Angular JS.
- Experience in writing automated tests for web applications. 
- Enjoy working on challenging solutions and systems.
- Believe that building great applications is not only about delivering code that “works”, but involves thinking about reusability, maintainability, security, and performance.
- A "Can do attitude" and a product mindset.
- Confidence in communicating in English.
-  Willing to relocate to Bangkok, Thailand or living in Ho Chi Ming, Da Nang (Vietnam).</t>
  </si>
  <si>
    <t>Airyrooms</t>
  </si>
  <si>
    <t>https://www.linkedin.com/in/andre-akbar-kurnia/</t>
  </si>
  <si>
    <t xml:space="preserve">- Bangkok, Thailand
- Ho Chi Minh, Vietnam
- Da Nang, Vietnam </t>
  </si>
  <si>
    <t>https://jobs.nimblehq.co/o/web-developer-midsenior-level-bangkok?source=sea</t>
  </si>
  <si>
    <t>andreakbar06@gmail.com</t>
  </si>
  <si>
    <t>Ferdian Vidrena, PM @ Airy</t>
  </si>
  <si>
    <t>Putu Mahendra - Senior Product Manager; Faris Ihsaan Fauzi - QA; Khalila Hunafa - Product Manager</t>
  </si>
  <si>
    <t>As a PM, Andre picks up new things quickly and has strong understanding on how business work. He's also easy going and welcoming, traits that would make people like working with him.</t>
  </si>
  <si>
    <t>Irwanto Widyatri</t>
  </si>
  <si>
    <t>https://www.linkedin.com/in/irwantowidyatri</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</si>
  <si>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 xml:space="preserve">What you will do:
</t>
    </r>
    <r>
      <rPr>
        <sz val="10"/>
        <color rgb="FF000000"/>
        <rFont val="Arial"/>
      </rPr>
      <t>- Identify and develop new customers and business opportunities.
- Lead sales, sales strategy, to meet the sales &amp; profitability objectives.
- Understand and speak to trends in startups and technology. 
- Work in partnership with the Product and Software Development team.
- Develop long-term partnerships with the top companies around South East Asia. 
- Manage customer relationships across the entire lifecycle.
- Identify client needs and position Nimble in a way that sets the relationship and project up for success.
- Investigate the customer’s long-term business objectives and anticipate future technical needs.</t>
    </r>
  </si>
  <si>
    <t>- Speak bothThai and English fluently and understand Thai IT market well. 
- 5+ years in business development or sales management role in a software development services company or technology consulting.
- Intellectual curiosity - you love to ask questions and are genuinely interested in learning what the client’s needs are. 
- A sense of urgency.
- A strong network, especially among large corporations in Thailand. A strong network in other Southeast Asian countries, US, Europe and startup ecosystems are a plus. 
- Technical knowledge - you have an understanding of how software solutions get built.
- Competitiveness - you want to win and nothing can stop you. 
- Articulation - you have strong interpersonal skills and can communicate effectively. 
- Organization - you use and create systems to stay on top of your responsibilities. 
- Passion - you are excited about technology, and how it helps businesses succeed. 
- Empathy - you genuinely care about the people you talk to and want to find ways to help them. 
- Product mindset - you have an understanding of product development and an intuition for what makes a great product.
- Closing mindset - you know how to seal the deal and get people over the finish line.</t>
  </si>
  <si>
    <t>- Bangkok, Thailand</t>
  </si>
  <si>
    <t>https://jobs.nimblehq.co/o/business-development-executive-5?source=sea</t>
  </si>
  <si>
    <t>irwanto.widyatri@gmail.com</t>
  </si>
  <si>
    <t>Marketing, Product, Data and analytics, Exec team</t>
  </si>
  <si>
    <t>Muhsin Shodiq (Senior Engineer Manager)</t>
  </si>
  <si>
    <t>Ero Winanda</t>
  </si>
  <si>
    <t>Training &amp; Development Manager</t>
  </si>
  <si>
    <t>https://www.linkedin.com/in/ero-w-81872319/</t>
  </si>
  <si>
    <t>ero.winanda87@gmail.com</t>
  </si>
  <si>
    <t>Product manager @ airyrooms.com</t>
  </si>
  <si>
    <t>Erwin Suriansyah</t>
  </si>
  <si>
    <t xml:space="preserve">He great leader and willing to help each other </t>
  </si>
  <si>
    <t>Android Developer (Mid - Senior Level)</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</si>
  <si>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What you will do:</t>
    </r>
    <r>
      <rPr>
        <sz val="10"/>
        <color rgb="FF000000"/>
        <rFont val="Arial"/>
      </rPr>
      <t xml:space="preserve">
- You will be an active member or have the leading position of the development team (2-3 developers) in a project squad working with a development Team Lead, a Product Owner and UX/UI Designer.
- Decide which technologies are going to be used and define the overall architecture.
- Work closely with the Product Owner to make sure the backlog is efficiently planned and occasionally assist in technical discussions with clients. Most of the client interfacing is done by the Product Owner.
- Write clean, composable, and maintainable code as you develop world-class products for our clients.
- Write automated tests to build and maintain the product we build for our clients.
- Do code reviews with your squad members.
- Learn new technologies, languages, and techniques so that you are able to adapt to the evolving needs of our clients.
- Mentor junior members via pair-programming and sharing your knowledge through team rituals (sprint planning and bi-weekly retrospectives).
- Collaborate with other team members to define the internal processes and initiatives to help the company accomplish its mission. Our handbook has been written by the whole team.</t>
    </r>
  </si>
  <si>
    <t>Byarbreda Mahaputra</t>
  </si>
  <si>
    <t>Project Training &amp; Development</t>
  </si>
  <si>
    <t>- 2 years or more of professional Android development experience. 
- Experience in Kotlin is ideal. If you do not have experience in Kotlin, you must be open to learn and work on it. 
- Experience in writing automated tests for mobile applications. 
- Enjoy working on challenging solutions and systems.
- Believe that building great applications is not only about delivering code that “works”, but involves thinking about reusability, maintainability, security and performance.
- A "Can do attitude" and a product mindset.
Confidence in communicating in English.
- Living in Thailand.</t>
  </si>
  <si>
    <t>https://www.linkedin.com/in/byarbreda-mahaputra-8186b949/</t>
  </si>
  <si>
    <t>https://jobs.nimblehq.co/o/android-developer-mid-senior-level-6?source=sea</t>
  </si>
  <si>
    <t>byarbredamahaputra@gmail.com</t>
  </si>
  <si>
    <t>Wahyudi Umar - VP Operation Airyrooms Indonesia (https://id.linkedin.com/in/umarjktwahyudi</t>
  </si>
  <si>
    <t>Farida Charania</t>
  </si>
  <si>
    <t>Senior Vice President Eu/ UK</t>
  </si>
  <si>
    <t>X0PA Ai</t>
  </si>
  <si>
    <t>https://www.linkedin.com/in/faridacharania/</t>
  </si>
  <si>
    <t>farida_charania@icloud.com</t>
  </si>
  <si>
    <t>Marketing, Sales, BD and Partnerships, Exec team, HR, People, Talent</t>
  </si>
  <si>
    <t>iOS Developer (Mid - Senior Level)</t>
  </si>
  <si>
    <t>ACE</t>
  </si>
  <si>
    <t>Nina Alag Suri, CEO - X0PA Ai</t>
  </si>
  <si>
    <r>
      <t xml:space="preserve">We are a team of passionate software engineers, product managers, and designers that enjoy building outstanding web and mobile applications.
Millions of people use our apps. We work for companies of all sizes; from 1-person startups to Fortune 500 enterprises. We take a collaborative and product development approach, creating custom software that people will love to use and solving our clients' problems so that they can focus on what they do best - better.
If you want to grow together, work on challenging products and enjoy using the best tools and practices, Nimble is the right place for you! We keep our recruitment process practical and straightforward.
</t>
    </r>
    <r>
      <rPr>
        <b/>
        <sz val="10"/>
        <rFont val="Arial"/>
      </rPr>
      <t>What you will do:</t>
    </r>
    <r>
      <rPr>
        <sz val="10"/>
        <color rgb="FF000000"/>
        <rFont val="Arial"/>
      </rPr>
      <t xml:space="preserve">
- You will be an active member or have the leading position of the development team (2-3 developers) in a project squad working with a development Team Lead, a Product Owner and UX/UI Designer.
- Decide which technologies are going to be used and define the overall architecture.
- Work closely with the Product Owner to make sure the backlog is efficiently planned and occasionally assist in technical discussions with clients. Most of the client interfacing is done by the Product Owner.
- Write clean, composable, and maintainable code as you develop world-class products for our clients.
- Write automated tests to build and maintain the product we build for our clients.
- Do code reviews with your squad members.
- Learn new technologies, languages, and techniques so that you are able to adapt to the evolving needs of our clients.
- Mentor junior members via pair-programming and sharing your knowledge through team rituals (sprint planning and bi-weekly retrospectives).
- Collaborate with other team members to define the internal processes and initiatives to help the company accomplish its mission. Our handbook has been written by the whole team.</t>
    </r>
  </si>
  <si>
    <t>- 2 years or more of professional iOS development experience. 
- Experience in both Objective-C and Swift is ideal. If you do not have experience in Swift, you must be open to learn and work on it. 
- Experience in writing automated tests for mobile applications. 
- Enjoy working on challenging solutions and systems.
- Believe that building great applications is not only about delivering code that “works”, but involves thinking about reusability, maintainability, security and performance.
- A "Can do attitude" and a product mindset.
- Confidence in communicating in English.
- Living in Thailand</t>
  </si>
  <si>
    <t>Jhoni Young</t>
  </si>
  <si>
    <t>https://www.linkedin.com/in/youngjhoni/</t>
  </si>
  <si>
    <t>https://jobs.nimblehq.co/o/ios-developer-mid-senior-level-6?source=sea</t>
  </si>
  <si>
    <t>youngjhoni8@gmail.com</t>
  </si>
  <si>
    <t>Product, Finance, Ops, Data and analytics</t>
  </si>
  <si>
    <t>Ferdian @Airy</t>
  </si>
  <si>
    <t>Vanessa Sarah Griselda @AdaKerja</t>
  </si>
  <si>
    <t>Mira Nabila</t>
  </si>
  <si>
    <t>Project Manager - Construction</t>
  </si>
  <si>
    <t>CoHive</t>
  </si>
  <si>
    <t>https://www.linkedin.com/in/nabilamira/</t>
  </si>
  <si>
    <t>aisyamiranabila@gmail,com</t>
  </si>
  <si>
    <t>Tiffany @ Gojek</t>
  </si>
  <si>
    <t>Andrie - Lead of Project Construction Management</t>
  </si>
  <si>
    <t>Nicolas Tjahja</t>
  </si>
  <si>
    <t>Chief Product Officer</t>
  </si>
  <si>
    <t>https://www.linkedin.com/in/nicolas-tjahja-saputra-9a5a1482/</t>
  </si>
  <si>
    <t>COO, Co-founder</t>
  </si>
  <si>
    <t xml:space="preserve">We are an early-stage start-up that delivers consumer goods without packaging. We raised funding and have partnerships with major FMCGs in the pipeline, and are now looking to make our vision a reality. You will be primarily responsible for handling the entire operations of our business, but a will also be involved in other aspects of the business such as fundraising, business strategy, etc.  As a co-founder, your monetary compensation will not be in line with what you would get in the market. Your primary compensation will be in equity. You'll be creating a company that has the potential to transform the way retail works and tackle one of the most important environmental challenges of our time. </t>
  </si>
  <si>
    <t>5+ years of work experience
 Background in start-ups, operations, and (ideally) FMCGs
 Willingness to get your hands dirty, pilot our business model, and interact with low-income customers
 MBA preferred
 Must be Indonesian</t>
  </si>
  <si>
    <t>Siklus</t>
  </si>
  <si>
    <t>IoT/Retail/Sustainability</t>
  </si>
  <si>
    <t>https://angel.co/company/siklus/jobs/762522-coo-co-founder</t>
  </si>
  <si>
    <t>tjahjanicolas@gmail.com</t>
  </si>
  <si>
    <t>Khalis Alviani</t>
  </si>
  <si>
    <t>Accoung Manager</t>
  </si>
  <si>
    <t>https://www.linkedin.com/in/khalis-devinta-83357a129/</t>
  </si>
  <si>
    <t>khalis.devinta@gmail.com</t>
  </si>
  <si>
    <t>Vivin Suryawati Butar, Account Manager, PT Airy Nest Indonesia</t>
  </si>
  <si>
    <t>Sianne Jasanti, Corporate Sales Manager</t>
  </si>
  <si>
    <t>I have worked with Sianne for 1 years on the same team, prior to Sianne's current position we have known each other since we are on the same department. Sianne is a caring person as leader and as a friend, she has a strong understanding of business strategy and sales in general. Sianne helps me to grow and build me into a capable team player. Sianne had been a really awesome mentor for me, besides a caring sister which really determined to help her team to grow stronger, bigger, and to become the most valuable assets to company.</t>
  </si>
  <si>
    <t>Please send your CV to talent@siklusrefill.com with heading "COO, Co-founder"</t>
  </si>
  <si>
    <t>Eko Santoso</t>
  </si>
  <si>
    <t xml:space="preserve">Social Media Associate </t>
  </si>
  <si>
    <t>Echo Santoso</t>
  </si>
  <si>
    <t>echosants@gmail.com</t>
  </si>
  <si>
    <t>Fransisco Samosir</t>
  </si>
  <si>
    <t>Timotius Wijaya - Social Media Manager</t>
  </si>
  <si>
    <t>They say I’m fast learner, easy going person, love to explore new things, and I’m willing to learn.</t>
  </si>
  <si>
    <t>Leandro Bark</t>
  </si>
  <si>
    <t>Global Head of Business Development &amp; Partnerships</t>
  </si>
  <si>
    <t>www.linkedin.com/in/leandrobark</t>
  </si>
  <si>
    <t>CTO, Co-founder</t>
  </si>
  <si>
    <t xml:space="preserve">We are an early-stage start-up that delivers consumer goods without packaging to low-income customers We raised funding and have partnerships with major FMCGs in the pipeline, and are now looking to make our vision a reality. You will handle the technology side of our company, both IoT hardware and software to accompany it. As a co-founder, your monetary compensation will not be in line with what you would get in the market. Your primary compensation will be in equity. You'll be creating a company that has the potential to transform the way retail works and tackle one of the most important environmental challenges of our time. </t>
  </si>
  <si>
    <t>Background in software development and/or hardware engineering, ideally IoT
 Ability to build a team from scratch
 Ability to set vision on how technology will be used in the company
 Experience with start-up preferred</t>
  </si>
  <si>
    <t>leandrobark@gmail.com</t>
  </si>
  <si>
    <t>https://angel.co/company/siklus/jobs/762519-cto-co-founder</t>
  </si>
  <si>
    <t>Mohammad Wildan Widiarta</t>
  </si>
  <si>
    <t>Go Online Destination (Pegipegi)</t>
  </si>
  <si>
    <t>https://www.linkedin.com/in/wildanwidiarta/</t>
  </si>
  <si>
    <t>wildan.wdt@gmail.com</t>
  </si>
  <si>
    <t>Found in LinkedIn</t>
  </si>
  <si>
    <t>Please send your CV to talent@siklusrefill.com with heading "CTO, Co-founder"</t>
  </si>
  <si>
    <t>Need company sponsored visa</t>
  </si>
  <si>
    <t>Jimmy Irawan</t>
  </si>
  <si>
    <t>Video Specialist</t>
  </si>
  <si>
    <t>Tyroola</t>
  </si>
  <si>
    <t>www.linkedin.com/in/jimmyirawan</t>
  </si>
  <si>
    <t>jimmyirawan05@gmail.com</t>
  </si>
  <si>
    <t>zvezde klingenberg, CEO Tyroola</t>
  </si>
  <si>
    <t>Fiqi Hermaarief</t>
  </si>
  <si>
    <t>Asst Brand Manager Corporate Marketing (CRM)</t>
  </si>
  <si>
    <t>ISMAYA GROUP</t>
  </si>
  <si>
    <t>vqhermaarief@gmail.com</t>
  </si>
  <si>
    <t>Dwi Christanti, From King Koil</t>
  </si>
  <si>
    <t>Kimmy Huynh</t>
  </si>
  <si>
    <t>Associate Director, Program</t>
  </si>
  <si>
    <t>https://www.linkedin.com/in/kimmylhuynh/</t>
  </si>
  <si>
    <t>Du Anyam is a brand built upon the values of its founders : Women Empowerment, Cultural Promotion, and Health and Welfare Improvement. With the goal of economically empowering and improving the health of these women in rural areas around Indonesia, we aim to promote the unique wicker-crafting culture of these artistically-gifted women to people around Indonesia and other parts of the world. As w e want to expand our impacts to more areas in Indonesia, we want to leverage technology to support the overall operations. Therefore, we are currently looking for Engineers to further grow Du Anyam's impacts in Indonesia through technology. 
 This role will be the pioneers of Du Anyam's engineering team, heavily exposed to both the company strategic direction and day-to-day operations with UMKMs. This is the opportunity to expand not only your technical skill as Engineer, but also the strategic and communication skills with various stakeholders.</t>
  </si>
  <si>
    <t>- 1-2 years of experience in tech product development, having involved at least one entire product development cycle from concept to launch
 - Have exceptional coding abilities and strong understanding of computer science fundamentals
 - Can empathize and communicate well with a wide range of stakeholders (engineers, designers, product managers, business users, and customers)
 - Get excited and feel challenged when dealing with difficult problems
 - Experience in e-commerce technology and/or ERP system is a plus</t>
  </si>
  <si>
    <t>kimmyhuynh@live.com</t>
  </si>
  <si>
    <t>Du Anyam
 (PT Karya Dua Anyam)</t>
  </si>
  <si>
    <t>Handicraft (B2B)</t>
  </si>
  <si>
    <t>Deeps De Silva, Head Global Marketing @Facebook</t>
  </si>
  <si>
    <t>Employment Pass Sponsorship needed</t>
  </si>
  <si>
    <t>www.duanyam.com</t>
  </si>
  <si>
    <t>Ng Chong Yang</t>
  </si>
  <si>
    <t>Enterprise Account Executive</t>
  </si>
  <si>
    <t>LivePerson</t>
  </si>
  <si>
    <t>https://www.linkedin.com/in/ngchongyang</t>
  </si>
  <si>
    <t>EmailMe@ngchongyang.com</t>
  </si>
  <si>
    <t>Yvonne Lim, Global eCommerce Director, Razer Inc.</t>
  </si>
  <si>
    <t>Yes, they would be on my LinkedIn Recommendations Section</t>
  </si>
  <si>
    <t xml:space="preserve">"Chong Yang is a solid sales hunter. His expertise is in quickly identifying Conversational AI opportunities and immediate values for enterprise.  He is then consistently able to lead through Proof of Concepts with our teams to proof the identified values in partnership with prospects and clients. This leads to enterprises’ teams (from C-suite to project execution units) quickly trusting, and on-boarding, his proposals.  He is a unique breed who has a deep understanding of Conversation AI - from technology to business benefits - and is an excellent evangelist and communicator. I learn new things from him every day." </t>
  </si>
  <si>
    <t>Sandra Lim</t>
  </si>
  <si>
    <t>Eezee Pte Ltd</t>
  </si>
  <si>
    <t>www.linkedin.com/in/sandralimsg</t>
  </si>
  <si>
    <t>Please send your CV to
 admin@duanyam.com</t>
  </si>
  <si>
    <t>sandralim155@gmail.com</t>
  </si>
  <si>
    <t>Marketing, BD and Partnerships, Exec team, Design</t>
  </si>
  <si>
    <t>Terrence Goh CDO &amp; Co-Founder @ eezee.sg</t>
  </si>
  <si>
    <t>Zachariah Jones</t>
  </si>
  <si>
    <t>Assistant Marketing Manager</t>
  </si>
  <si>
    <t>https://www.linkedin.com/in/zachariah-jones/</t>
  </si>
  <si>
    <t>Du Anyam is a brand built upon the values of its founders : Women Empowerment, Cultural Promotion, and Health and Welfare Improvement. With the goal of economically empowering and improving the health of these women in rural areas around Indonesia, we aim to promote the unique wicker-crafting culture of these artistically-gifted women to people around Indonesia and other parts of the world. As w e want to expand our impacts to more areas in Indonesia, we want to leverage technology to support the overall operations. Therefore, we are currently looking for Engineers to further grow Du Anyam's impacts in Indonesia through technology. 
 This role is responsible to :
 - Understand web requirements based on the company's goal
 - Assess best-fit tool and/or platform to build website according to the requirements
 - Design, develop, and test to ensure smooth deployment of releases
 - Develop, refine, and tune integrations with other systems used in Du Anyam
 - Analyze and resolve technical problems
 - Adhere to high-quality development principles while delivering solutions on-time and on-budget</t>
  </si>
  <si>
    <t>-Experienced in web development and managing hosting
 - Experienced in website builders such as Wordpress, Magento, Shopify, and Other Platforms
 - Have coding abilities and understanding of Front End development
 - Can empathize and communicate well with a wide range of stakeholders (engineers, designers, business users, and customers)
 - Get excited and feel challenged when dealing with difficult problems
 - Experienced in UIUX is a plus</t>
  </si>
  <si>
    <t>zachariah.s.jones@gmail.com</t>
  </si>
  <si>
    <t>Time</t>
  </si>
  <si>
    <t>Vania Josephine Santosa</t>
  </si>
  <si>
    <t>https://www.linkedin.com/in/vaniajosephinst/</t>
  </si>
  <si>
    <t>Talent Posting</t>
  </si>
  <si>
    <t>vaniajst11@gmail.com</t>
  </si>
  <si>
    <t>Adhika Lim DevOps&amp;BA @ Modana</t>
  </si>
  <si>
    <t>Azhari Fauzan</t>
  </si>
  <si>
    <t>Revenue and Distribution Associate</t>
  </si>
  <si>
    <t>https://id.linkedin.com/azhari.fauzan</t>
  </si>
  <si>
    <t>azhari.fauzan@live.com</t>
  </si>
  <si>
    <t>Marketing, Sales, Product, Accounting, Finance, Data and analytics</t>
  </si>
  <si>
    <t>I found it from google</t>
  </si>
  <si>
    <t>Giovanni Jessica, Revenue Manager</t>
  </si>
  <si>
    <t>Azhar is a fast learner and has a can do spirit to achieve the team goal</t>
  </si>
  <si>
    <t>Count</t>
  </si>
  <si>
    <t>Modana - Indonesia</t>
  </si>
  <si>
    <t>What are you looking for next</t>
  </si>
  <si>
    <t>List of Companies</t>
  </si>
  <si>
    <t>We are a technology company that requires a Product Manager/Owner to keep us moving light speed in the right direction. Our industry-leading products are actively used by a over a million people across the globe.</t>
  </si>
  <si>
    <t>adhika@modana.id</t>
  </si>
  <si>
    <t>Muliany</t>
  </si>
  <si>
    <t>(Product) UI/UX Designer</t>
  </si>
  <si>
    <t>https://www.linkedin.com/in/muliany-tan-52463a58/</t>
  </si>
  <si>
    <t>Atleast 2 years of experience</t>
  </si>
  <si>
    <t>Network Guard</t>
  </si>
  <si>
    <t>Security</t>
  </si>
  <si>
    <t>Singapore/Hong Kong</t>
  </si>
  <si>
    <t>https://networkguard.com/careers/product-management/product-manager-all-levels-apps-and-website-hong-kong-or-singapore/</t>
  </si>
  <si>
    <t>muliany.tan@gmail.com</t>
  </si>
  <si>
    <t>Sintiche - SPM @ Airyrooms</t>
  </si>
  <si>
    <t>Sintiche Mayang, SPM @ Airy - Hardworking, hunger to learn, successfully increasing Airy App conversion rate through design improvement, good persistent documentation.</t>
  </si>
  <si>
    <t>Muhsin Shodiq, Engineering Lead @ Airy - Responsive, able to cooperate well in a team, immense curiosity in design and product</t>
  </si>
  <si>
    <t>Khoo Yu Wen</t>
  </si>
  <si>
    <t>Manager, Quality Assurance</t>
  </si>
  <si>
    <t>khooyuwen92@gmail.com</t>
  </si>
  <si>
    <t>Regina, People &amp; Engagement Specialist @ Smove</t>
  </si>
  <si>
    <t>Regina - People &amp; Engagement Specialist</t>
  </si>
  <si>
    <t>Yap Wen Qin</t>
  </si>
  <si>
    <t>Live In Private Limited Company</t>
  </si>
  <si>
    <t>https://www.linkedin.com/in/yap-wen-qin-30291238/</t>
  </si>
  <si>
    <t>wenqin082yap@gmail.com</t>
  </si>
  <si>
    <t>Engineering, Product, Finance, Data and analytics, Exec team</t>
  </si>
  <si>
    <t>Yap Wen Qin, Software Engineer @ LiveIn.com</t>
  </si>
  <si>
    <t>Need sponsorship for work visa</t>
  </si>
  <si>
    <t>Sandhya Sriram</t>
  </si>
  <si>
    <t>Financial and Data Analyst (Business Intelligence)</t>
  </si>
  <si>
    <t>https://www.linkedin.com/in/sandhya-sriram/</t>
  </si>
  <si>
    <t>Lead Cloud Automation Engineer</t>
  </si>
  <si>
    <t>We are looking for a Senior Cloud Automation Engineer. As we continue to grow, there is more demand on the IT Department to plan, provision and maintain IT resources and support the changing needs of our internal users.</t>
  </si>
  <si>
    <t>sandhya.sriram29@gmail.com</t>
  </si>
  <si>
    <t>Regina Koh</t>
  </si>
  <si>
    <t>Jarvi Celeres</t>
  </si>
  <si>
    <t>Strategic Operations and Partnerships Manager &amp; Product Manager</t>
  </si>
  <si>
    <t>Maria Health</t>
  </si>
  <si>
    <t>https://www.linkedin.com/in/jarviceleres/</t>
  </si>
  <si>
    <t>Reporting to the IT Infrastructure/Operations Manager, you’ll be responsible for ensuring our worldwide team can work efficiently and securely. As a senior individual contributor on our IT team, you’ll have quite broad responsibilities including: (the mix will depend on your interests and skill-level)</t>
  </si>
  <si>
    <t>jceleres04@gmail.com</t>
  </si>
  <si>
    <t>Sales, BD and Partnerships, Product, Ops, Data and analytics</t>
  </si>
  <si>
    <t>https://networkguard.com/careers/information-technology/lead-cloud-automation-engineer-singapore-or-hong-kong/</t>
  </si>
  <si>
    <t>Philippines passport holder</t>
  </si>
  <si>
    <t>DImas Andaru Kusumo Notowidjojo</t>
  </si>
  <si>
    <t xml:space="preserve">Esport Talent Acquisition </t>
  </si>
  <si>
    <t>Aura Esport</t>
  </si>
  <si>
    <t>https://www.linkedin.com/in/dimasnotowidjojo/</t>
  </si>
  <si>
    <t>d.andaru.kusumo@gmail.com</t>
  </si>
  <si>
    <t>Winston Joshua @MDI Investment</t>
  </si>
  <si>
    <t>Jessica Eda</t>
  </si>
  <si>
    <t>https://www.linkedin.com/in/jessicaeda/</t>
  </si>
  <si>
    <t>nugroho.jessica.eda@gmail.com</t>
  </si>
  <si>
    <t>Work-mate</t>
  </si>
  <si>
    <t>Mahdiazhari Austian</t>
  </si>
  <si>
    <t>JavaScript Instructor (Curriculum Developer)</t>
  </si>
  <si>
    <t>Hacktiv8</t>
  </si>
  <si>
    <t>https://www.linkedin.com/in/mahdiazhari/</t>
  </si>
  <si>
    <t>Software Development Lead- Consumer Apps</t>
  </si>
  <si>
    <t>Are you an experienced people-manager and development lead? Lead our teams of client side app developers for consumer apps used by millions of people around the world. You will lead teams building apps on all major platforms: Windows, Mac, Linux, Android, iOS, routers and browser extensions.</t>
  </si>
  <si>
    <t>At least 5 years experience as a developer</t>
  </si>
  <si>
    <t>https://networkguard.com/careers/software-development/software-development-lead-consumer-apps-hong-kong/</t>
  </si>
  <si>
    <t>mahdi.austian@gmail.com</t>
  </si>
  <si>
    <t>Engineering, Ops, Data and analytics</t>
  </si>
  <si>
    <t>Willie Soedewa, Head of Growth @ Hacktiv8</t>
  </si>
  <si>
    <t>Aadish Rakhecha</t>
  </si>
  <si>
    <t>Co-founder</t>
  </si>
  <si>
    <t>Insanirator</t>
  </si>
  <si>
    <t>https://www.linkedin.com/in/aadishr/</t>
  </si>
  <si>
    <t>aadish4@gmail.com</t>
  </si>
  <si>
    <t>BD and Partnerships, Product</t>
  </si>
  <si>
    <t>Felicia Julin</t>
  </si>
  <si>
    <t>Big Bad Wolf Books</t>
  </si>
  <si>
    <t>https://www.linkedin.com/in/felicia-julin-7930831a7/</t>
  </si>
  <si>
    <t>Content Manager</t>
  </si>
  <si>
    <t>We’re looking for a world-class content planner who knows how to build and direct a team. You’re part motivator, part visionary, part coach, and part taskmaster. But above all, you know how to recognize and produce good writing that attracts eyeballs, builds confidence in a brand, and inspires action. Let’s get to work</t>
  </si>
  <si>
    <t>Proven work experience as a Content Manager (2+ years as a Content Manager and/or 5+ years as a Writer or Editor)</t>
  </si>
  <si>
    <t>https://networkguard.com/careers/content-marketing/content-manager-singapore-or-hong-kong/</t>
  </si>
  <si>
    <t>feliciajulin@gmail.com</t>
  </si>
  <si>
    <t>Marketing, Sales, Product, Design</t>
  </si>
  <si>
    <t>Vinessa Chandra, graphic designer @ Big Bad Wolf Books</t>
  </si>
  <si>
    <t>Kevin Kanters</t>
  </si>
  <si>
    <t>Project Manager/Business Analyst</t>
  </si>
  <si>
    <t>Credit Agricole CIB</t>
  </si>
  <si>
    <t>http://linkedin.com/in/kevin-kanters</t>
  </si>
  <si>
    <t>kevin.kanters@outlook.fr</t>
  </si>
  <si>
    <t>Product, Finance, Data and analytics, Design</t>
  </si>
  <si>
    <t>Aurore Duhamel</t>
  </si>
  <si>
    <t>Jean-Christophe GILBERT, COO at CACIB</t>
  </si>
  <si>
    <t>Adaptable and gets the job done.</t>
  </si>
  <si>
    <t>Fajar Hardipradan</t>
  </si>
  <si>
    <t>https://www.linkedin.com/in/fajar-hardipradana-a96704116</t>
  </si>
  <si>
    <t>Senior Operations Analyst</t>
  </si>
  <si>
    <t>We are looking for a Senior Operations Analyst. You’re a problem solver who loves to make a direct impact on customers globally? Join us to be part of a friendly cross-functional team at the core of our Tech Operations. You’ll help ensure that we’re delivering service to our customers at expected quality levels and within reasonable costs.</t>
  </si>
  <si>
    <t>Atleast 5 years</t>
  </si>
  <si>
    <t>https://networkguard.com/careers/information-technology/senior-operations-analyst-singapore-or-hong-kong/</t>
  </si>
  <si>
    <t>fajar.dana@alumni.ui.ac.id</t>
  </si>
  <si>
    <t>Prastika Herlianti, Senior Graphic Designer @Mekari</t>
  </si>
  <si>
    <t>Nilam Utomo</t>
  </si>
  <si>
    <t>HR Recruitment and Development Manager</t>
  </si>
  <si>
    <t>Nilam Meyti Sari Utomo</t>
  </si>
  <si>
    <t>nilam.meyti@gmail.com</t>
  </si>
  <si>
    <t>Ellen Tuwaidan, Chief People Operation Traveloka; Christine Lim, Head of People Operation Airy</t>
  </si>
  <si>
    <t>Mascha Moeis, Recruitment Lead Traveloka; Masagus Yusuf Albar, Head of Program Airy</t>
  </si>
  <si>
    <t>Mascha is my mentor, she has a lot knowledge about recruitment and hiring. Masagus is my fave user, he is a good leader and has a good vision about business and supply chain.</t>
  </si>
  <si>
    <t>Fauzia Nuraini (Yolla)</t>
  </si>
  <si>
    <t>Pawoon POS</t>
  </si>
  <si>
    <t>https://www.linkedin.com/in/yolla-fauzia-nuraini-862b6a24/</t>
  </si>
  <si>
    <t>Computer Vision Engineer</t>
  </si>
  <si>
    <t>yollafauzia@gmail.com</t>
  </si>
  <si>
    <t>We are looking for engineers specializing in the field of computer or machine vision focusing in industrial fields. In this role the engineer will be responsible to:
 1. Develop software solution for computer vision solution
 2. Research and development of new computer vision technology and skill
 3. Implement and do POC for real life application
 4. Collaborate with internal and external team to complete projects or research
 5. Periodic report and udpate on research and development result, solution or POC, and other tasks given</t>
  </si>
  <si>
    <t>Ahmad Gadi, CEO @ Pawoon POS</t>
  </si>
  <si>
    <t>We are looking for candidates:
 1. That has professional experience of 1 - 3 years in computer or machine vision fields
 2. Have a holistic understanding about computer vision solution from hardware to software
 3. Experience in software development for at least 1 -3 years with a proven result and track record
 4. Ability to grow, work within a team, and excel individually and independently without the need of supervision
 5. Attention to details, critical in thinking, opinionated, decisive in action and able to work professionally and provide more if required
 6. Fluent in Bahasa Indonesia, and english is a bonus
 7. Willing to travel between Jakarta, Makassar, and Singapore (But not for the moment, due to Covid-19)</t>
  </si>
  <si>
    <t>Fairtech</t>
  </si>
  <si>
    <t>Industrial Software Solution</t>
  </si>
  <si>
    <t>Cynthia Tehuayo</t>
  </si>
  <si>
    <t>Product and Marketing</t>
  </si>
  <si>
    <t>Impactgroup</t>
  </si>
  <si>
    <t>https://www.linkedin.com/in/cynthia-tehuayo/</t>
  </si>
  <si>
    <t>rachma@fairtech.com.sg</t>
  </si>
  <si>
    <t>cynthiatehuayo@yahoo.com</t>
  </si>
  <si>
    <t>Got this from LinkedIn :)</t>
  </si>
  <si>
    <t>Astrid Adhayuningtyas Naya Putri</t>
  </si>
  <si>
    <t>Campaign Manager</t>
  </si>
  <si>
    <t>Astrid Naya</t>
  </si>
  <si>
    <t>astridnaya@gmail.com</t>
  </si>
  <si>
    <t>Nilam Meyti, HR Recruiter @ Airy</t>
  </si>
  <si>
    <t>Nilam Meyti HR Recruiter</t>
  </si>
  <si>
    <t>Astrid is very capable and fun to work with. She also gets exceed expectation result in her latest performance review.</t>
  </si>
  <si>
    <t>Rizki Ridho Akbar</t>
  </si>
  <si>
    <t>Digital and Media Asst. Manager</t>
  </si>
  <si>
    <t xml:space="preserve">Japan Tobacco International </t>
  </si>
  <si>
    <t>https://www.linkedin.com/in/rizki-ridho-akbar-92683181/</t>
  </si>
  <si>
    <t>Electrical and Hardware Design Engineer</t>
  </si>
  <si>
    <t>Currently we are opening a position for a specilist in electrical design engineers, thas has passion to develop producs and solution. In this role the engineer will be responsible to:
 1. Design and develop electrical systems for various application and needs
 2. Creating system models and simulations, testing and making design changes if required
 3. Producing necessary design reports and documentation
 4. Providing input and assisting in the manufacture of new electrical systems
 5. Proficient in electrical hardware design and firmware/software design and development</t>
  </si>
  <si>
    <t>We are looking for candidates:
 1. Professional experience from 1 - 3 years in electrical systems development
 2. Proficient in CAD, or similar tools for designing electrical hardware solution
 3. Capable of programming and developing firmware and software for electical solution
 4. Ability to grow, work within a team, and excel individually and independently without the need of supervision
 5. Attention to details, critical in thinking, opinionated, decisive in action and able to work professionally and provide more if required
 6. Fluent in Bahasa Indonesia, and english is a bonus
 7. Willing to travel between Jakarta, Makassar, and Singapore (But not for the moment, due to Covid-19)</t>
  </si>
  <si>
    <t>theqiduts@gmail.com</t>
  </si>
  <si>
    <t>Muhammad Taufiqurrakhman</t>
  </si>
  <si>
    <t xml:space="preserve">Opik is my direct report in JTI, we work smart together and Opik give me a lot of knowledge and experiences to be a better "digital and Marketer" </t>
  </si>
  <si>
    <t>Malav Desai</t>
  </si>
  <si>
    <t>SDR</t>
  </si>
  <si>
    <t>https://www.linkedin.com/in/malav-desai-41989763/</t>
  </si>
  <si>
    <t>Software Engineer Specialist</t>
  </si>
  <si>
    <t>Currently we are opening a position for software engineer solution with responsibility of:
 1. Develop software solution that are geared for either web, or desktop solution
 2. Bridging and coperating with other department in developing software solution
 3. Able to analyze, design, and write specifications for software development
 4. Providing analysis and inputs to peers and other department for integration works and others
 5. Ability to explore and research within the boundaries of new software technology and solution
 6. Providing periodic reports for works and tasks that are given</t>
  </si>
  <si>
    <t>We are looking for candidates:
 1. More focus in desktop application development for at least with professional track record of 2 -3 years, web development experience is a bonus
 2. Experience in C families, NET, Python or Java and has a very good understanding of software development
 3. Understanding of good software design pattern is a must, and also undestanding of reusable components, clean code, and integration
 4. Quick learner, work within a team, and excel individually and independently without the need of supervision
 5. Attention to details, critical in thinking, opinionated, decisive in action and able to work professionally and provide more if required
 6. Fluent in Bahasa Indonesia, and english is a bonus
 7. Willing to travel between Jakarta, Makassar, and Singapore (But not for the moment, due to Covid-19)</t>
  </si>
  <si>
    <t>malavbirendesai@gmail.com</t>
  </si>
  <si>
    <t>Giulia Baiocchi, Director SEA @ Branch Metrics</t>
  </si>
  <si>
    <t>Giulia Baiocchi exemplifies the crossroads of business leadership and humanity. With a tenacious grasp of key metrics and her people skills, she personified my aspirations at Branch. Traits of her character will continue to guide me as I build my career. She would be an invaluable member to any team and I hope to work with her again.</t>
  </si>
  <si>
    <t>Izzatullo Khabibullaev</t>
  </si>
  <si>
    <t>Digital Marketing Strategies</t>
  </si>
  <si>
    <t>GOTOUZBEKISTAN</t>
  </si>
  <si>
    <t>https://www.linkedin.com/in/izzatullo-khabibullaev</t>
  </si>
  <si>
    <t>Frontend Software Engineer (ES6+, React) - APAC</t>
  </si>
  <si>
    <t>Responsibilities:
- Building the most efficient platform for on-demand food delivery, bleeding edge technical stack (ES6, React + Redux, Webpack) 
- Proficiency in React, knowledge of a modern React stack to handle side effects, styling, testing
- Knowledge of different testing approaches
- Knowledge of rendering large and complex datasets
- Interest in data visualization
- Interest in new web technologies
- Understanding principles of component-driven architecture</t>
  </si>
  <si>
    <t>ikhabibullaev@gmail.com</t>
  </si>
  <si>
    <t>Required Experience:
- Overall 6 years of experience with at least 4 years in (ES6+, React + Redux, Webpack)
- Bachelor's degree in Computer Science or an equivalent education or practical experience
- Very good communication skills in English, both written and spoken
- Good knowledge of Javascript
- Knowledge and understanding but not a must have: Typescript, Browser stack, Sass,Bootstrap,jquery,jest</t>
  </si>
  <si>
    <t>foodpanda</t>
  </si>
  <si>
    <t>Uzbekistan</t>
  </si>
  <si>
    <t>Rod Askarov, CEO @ Credit Exim</t>
  </si>
  <si>
    <t>foodtech
e-commerce
internet</t>
  </si>
  <si>
    <t>Boymirza Boysafarov, Finance Manager @Idea</t>
  </si>
  <si>
    <t>https://www.foodpanda.sg/contents/jobs?gh_jid=1673096</t>
  </si>
  <si>
    <t>Boymirza expertise in controlling financial risks and profitability, great team player and individual with strong analytical skills.</t>
  </si>
  <si>
    <t>Salman Farouk Al Hakim</t>
  </si>
  <si>
    <t>Government Relations and Marketing Manager</t>
  </si>
  <si>
    <t>PT. Nodeflux Teknologi Indonesia</t>
  </si>
  <si>
    <t>https://www.linkedin.com/in/salman-farouk-al-hakim-59183725/</t>
  </si>
  <si>
    <t>salmanhakim77@gmail.com</t>
  </si>
  <si>
    <t>Hesty Damayanti, Senior Brand Manager at Grab</t>
  </si>
  <si>
    <t>Permata Islam, CEO at Zicare Indonesia and Ary Mozta, VP Communication at Nodeflux</t>
  </si>
  <si>
    <t>The reason why the love work with me is because i am is a persistence persona who never give up to find a way to achieve the target and also a person who agile to work with new function, also i am a very humble and team work person.</t>
  </si>
  <si>
    <t>Gabriella Sadono</t>
  </si>
  <si>
    <t>Employer Branding and Employee Engagement</t>
  </si>
  <si>
    <t>https://www.linkedin.com/in/gabriellacynthiasadono/</t>
  </si>
  <si>
    <t>Please send your CV across to fatin.amira@foodpanda.com</t>
  </si>
  <si>
    <t>gabriella.cynthia@gmail.com</t>
  </si>
  <si>
    <t>Alvin Kristanto, Bank Mandiri</t>
  </si>
  <si>
    <t>Nilam Meiti, Senior Recruiter</t>
  </si>
  <si>
    <t>Indonesian citizenship and will need employment visa for overseas employment</t>
  </si>
  <si>
    <t xml:space="preserve">Fullstack Software Engineer (React &amp; Golang/Node), APAC
</t>
  </si>
  <si>
    <t>Responsibilities:
- Developing new user-facing features using React.js is preferred
- Building reusable components and front-end libraries for future use
- Translating designs and wireframes into high-quality code
- Optimizing components for maximum performance across a vast array of web-capable devices and browsers
- Testing and writing testable code, experience with automated testing
- Understanding business requirements and translate them into technical requirements</t>
  </si>
  <si>
    <t>Ivan Albert</t>
  </si>
  <si>
    <t>Recruiter - Senior Associate</t>
  </si>
  <si>
    <t>Required Experience:
- At least 3 years of experience in web development in e-commerce or hyperlocal industry
- Strong proficiency in JavaScript, including DOM manipulation and the JavaScript object model
- Experience with popular React.js workflows (such as Flux or Redux)
- Familiarity with RESTful APIs
- Knowledge of modern authorization mechanisms, such as JSON Web Token
- Testing and writing testable code, experience with automated testing
- Experience with CI/CD (BitBucket / Maven / Jenkins)
- Experience with Node.js is preferred, but experience with php, python, golang is also relevant
- Experience with PostgreSQL, MySQL or MongoDB is preferred</t>
  </si>
  <si>
    <t>https://www.linkedin.com/in/ivan-albert/</t>
  </si>
  <si>
    <t>https://www.foodpanda.sg/contents/jobs?gh_jid=1673117</t>
  </si>
  <si>
    <t>ivanalbert9545@gmail.com</t>
  </si>
  <si>
    <t>My Manager</t>
  </si>
  <si>
    <t>Nilam Meyti Sari Utomo (my recruitment manager) and Gabriella Cynthia (employer branding lead)</t>
  </si>
  <si>
    <t>Ivan is one of my best colleague and my go-to-guy for technology project. He is ambitious, has a great work ethic, and focus which always bring out my competitive side and inspire me to push myself to be better. Pleasure to know him. Cheers!</t>
  </si>
  <si>
    <t>Working visa</t>
  </si>
  <si>
    <t>Irfan Tripurwanta</t>
  </si>
  <si>
    <t>Partnerships Learning Center</t>
  </si>
  <si>
    <t>Mekari PT Mid Solusi Nusantara</t>
  </si>
  <si>
    <t>https://www.linkedin.com/in/irfan-tripurwanta-b09152159/</t>
  </si>
  <si>
    <t>irfantripurwanta1996@gmail.com</t>
  </si>
  <si>
    <t>Dyah Eras Mita, Product Trainer @ Mekari</t>
  </si>
  <si>
    <t xml:space="preserve">Engineering Manager (Android) - APAC
</t>
  </si>
  <si>
    <t>Juliet Kasko</t>
  </si>
  <si>
    <t>Responsibilities:
- Providing hands-on technical leadership, peer review and adherence to coding standards.
- Recognising and solving inefficiencies in our development process.
- Provide technical strategy and direction to the team.
- Mentor engineers in skills development and help them develop and execute a personal career development plan.
- Plan process and technology improvement projects and influence other managers and delivery team leads to collaborate on execution.
- Meet regularly with team members to provide feedback on employee performance and coaching for difficult situations.
- Manage the mobile apps release process.</t>
  </si>
  <si>
    <t>Director</t>
  </si>
  <si>
    <t>Global CxO</t>
  </si>
  <si>
    <t xml:space="preserve">Required experience:
- Experienced managing a team of engineers in an agile environment (3+ years of people management experience with a minimum of 4 direct reports).
- Engineering excellence - a proven track record of substantially impacting the development of complex non-trivial systems.
- Product focus - ability to internalize a product vision and motivate a team to work towards product goals.
- Execution - getting things done mentality. Ability to manage multiple projects at the same time. High prioritization skills.
- Multiple years of experience in Android and/or iOS development, including some years of hands-on technical leadership.
- Experience designing, implementing, testing, shipping, and/or supporting software.
- Knowledge in client/server system architectures and APIs.
- You are familiar with architectural patterns like MVP, MVVM &amp; MVI.
- Enjoy software design, technical challenges, and problem solving.
- You have a desire to work with and lead projects using Agile software development 
</t>
  </si>
  <si>
    <t>https://www.linkedin.com/in/julietkasko/</t>
  </si>
  <si>
    <t>https://www.foodpanda.sg/contents/jobs?gh_jid=1846399</t>
  </si>
  <si>
    <t>juliet.kasko@insead.edu</t>
  </si>
  <si>
    <t>BD and Partnerships, Exec team, HR, People, Talent</t>
  </si>
  <si>
    <t>Rafael Aldon, Ventures One, Partner</t>
  </si>
  <si>
    <t>Listia Wati</t>
  </si>
  <si>
    <t>Head of Accounting</t>
  </si>
  <si>
    <t>PT. Indoprof Motor Sejati</t>
  </si>
  <si>
    <t>listia.tu@gmail.com</t>
  </si>
  <si>
    <t>Rosa, General Accounting</t>
  </si>
  <si>
    <t>SPass / EPass (Indonesian Passport)</t>
  </si>
  <si>
    <t>Joseph Talampas</t>
  </si>
  <si>
    <t>C3.ai</t>
  </si>
  <si>
    <t>https://www.linkedin.com/in/josephtalampas/</t>
  </si>
  <si>
    <t xml:space="preserve">Engineering Manager (Golang) - APAC
</t>
  </si>
  <si>
    <t>Responsibilities:
- Ability to build, inspire, and manage a full-time staff of software engineers.
- Provide hands-on technical leadership, peer review and adherence to coding standards.
- Recognize and solve for inefficiencies in our development process.
- Provide technical strategy and direction to the team.
- Mentor engineers in skills development and help them develop and execute a personal career development plan.
- Plan process and technology improvement projects and influence other managers and delivery team leads to collaborate on execution.
- Meet regularly with team members to provide feedback on employee performance and coaching for difficult situations.
- Design, develop, test, deploy, maintain and improve the software
- Take part in architectural decision making
- Understanding development lifecycle and collaborate with cross-functional and international agile teams</t>
  </si>
  <si>
    <t xml:space="preserve">Required Experience:
- Overall 8 years of experience.
- Experienced managing a team of engineers in an agile environment (3+ years of people management experience with a minimum of 4 direct reports).
- Engineering excellence - a proven track record of substantially impacting the development of complex non-trivial systems.
- Product focus - ability to internalise a product vision and motivate a team to work towards product goals.-
- Execution - getting things done mentality. Ability to manage multiple projects at the same time. High prioritisation skills.
- Multiple years of experience in Golang, including some years of hands-on technical leadership.
- Bachelor's degree in Computer Science or an equivalent education or practical experience.
- Very good communication skills in English, both written and spoken </t>
  </si>
  <si>
    <t>https://www.foodpanda.sg/contents/jobs?gh_jid=2044341</t>
  </si>
  <si>
    <t>jptalampas@gmail.com</t>
  </si>
  <si>
    <t>United States</t>
  </si>
  <si>
    <t>Medium Article by Lidiya Dervisheva</t>
  </si>
  <si>
    <t>Xiang Ee Lum</t>
  </si>
  <si>
    <t>Revenue Manager Pricing</t>
  </si>
  <si>
    <t>https://www.linkedin.com/in/xiang-ee-lum-950067ab/</t>
  </si>
  <si>
    <t>xiang_e729@hotmail.com</t>
  </si>
  <si>
    <t>Mei Qi Lim, Revenue Manager@Zuzu Hospitality</t>
  </si>
  <si>
    <t>Smriti Singh</t>
  </si>
  <si>
    <t>Edutech Professional in Psychology</t>
  </si>
  <si>
    <t>Freelance Consultant</t>
  </si>
  <si>
    <t>https://www.linkedin.com/in/smritisingh/</t>
  </si>
  <si>
    <t xml:space="preserve">Senior Product Manager
</t>
  </si>
  <si>
    <t>Responsibilities:
- Define and execute a robust and comprehensive strategy, product roadmap, and business plan for foodpanda business
- Define metrics to measure the health and success of the product.
- Identify and execute on opportunities to drive up engagement for users.
- Grow revenue directly attributable to value created by the product post launch.
- Identify key levers to grow each foodpanda vertical; Collaborate with marketing, business development, design, engineering, analytics, and other product managers to drive our business with meaningful value to our user base and to ensure alignment with Product strategy
- Keep apprised of new innovations and trends in startups/ ecommerce and emerging technologies.</t>
  </si>
  <si>
    <t>Required Experience:
- Thrive between the balance of customer experience and commercial needs
- Able to deal with ambiguity and be able to break down barriers
- Experience in  presenting to senior management and building consensus
- Turn business requirements  into a road map of features broken down by quarter
- Maintain a prioritized backlog with clear and concise user stories.
- Sound product and execution skills and ability to perform under tight deadlines
- Able to be very detailed while keeping an eye on the big picture
- Define key requirements and go deep on the details as needed
- Be the SME for the feature(s) / product  you are driving
- Develop metrics and reporting for features
- Understand the systems and technologies behind your product, their limitations, scaling factors, boundary conditions, and reasons for architectural decisions.
- Drive alignment across program and technology teams to deliver on stakeholder needs.
- Experience in building platform solutions, defining services and applications</t>
  </si>
  <si>
    <t>sinsmriti@gmail.com</t>
  </si>
  <si>
    <t>https://www.foodpanda.sg/contents/jobs?gh_jid=2160575</t>
  </si>
  <si>
    <t>Product, HR, People, Talent</t>
  </si>
  <si>
    <t>Supreet Sethi</t>
  </si>
  <si>
    <t>Valid Visa to work</t>
  </si>
  <si>
    <t>Prabudandy Yudhanto</t>
  </si>
  <si>
    <t>Product Marketing Analyst</t>
  </si>
  <si>
    <t>https://www.linkedin.com/in/prabudandy-yudhanto-75172265</t>
  </si>
  <si>
    <t>dandyprabu@gmail.com</t>
  </si>
  <si>
    <t>Natan S, Product Marketing @Airyrooms.com</t>
  </si>
  <si>
    <t>Ria Lim, Product Marketing Manager</t>
  </si>
  <si>
    <t>Prabu is one of the people that can manage multiple projects and stakeholders at the same time. While driving marketing performance on a limited budget.</t>
  </si>
  <si>
    <t>Cecep Suryana</t>
  </si>
  <si>
    <t>Design &amp; Photographer (Foto &amp; Editor )</t>
  </si>
  <si>
    <t>Airy</t>
  </si>
  <si>
    <t>rasyah98@yahoo.co.id:</t>
  </si>
  <si>
    <t>Cecep,Photographer@Airyrooms.com</t>
  </si>
  <si>
    <t>Cynthia,Human Resource Department</t>
  </si>
  <si>
    <t>Cynthia."she's god job,team work &amp; friendly</t>
  </si>
  <si>
    <t>indonesia</t>
  </si>
  <si>
    <t>Jane Misshela</t>
  </si>
  <si>
    <t>Market Manager</t>
  </si>
  <si>
    <t>https://www.linkedin.com/in/jane-misshela-tampubolon-27735039/</t>
  </si>
  <si>
    <t xml:space="preserve">Senior Product Designer (Leadership Opportunity), APAC
</t>
  </si>
  <si>
    <t>Responsibilities:
- Execute across all phases of design work: define conceptual foundations, execute UX flows, apply visual design systems, prototype using a variety of tools and methods, participate or conduct usability testing, create production-ready designs  and support multi-disciplinary teams during implementation
- Collaborate with peers in other design teams and contribute to the global design community
- Inspire, push creativity and identify industry best practices for user experience within your team
- Ensure that the quality of implementation meets design requirements
- Provide leadership, direction and mentorship for design related projects
- Lead by example: bring the same energy and high quality work to your roles as you expect from fellow designers
- Help make sure we are providing the most comprehensive solutions by fully understanding the problem areas, taking into account the different market expectations, history and stakeholders feedback 
- Advocate for users in a fast-paced, corporate climate, foster a shared understanding of the user-centric intersection between design, business and engineering.</t>
  </si>
  <si>
    <t xml:space="preserve">Required Experience:
- At least 5 years of experience in product design and UX research in e-commerce or hyperlocal industry
- 2 or more years of experience in managing or leading other designer
- A digital portfolio that demonstrates conceptual thinking, dynamic user experiences, a data-driven mindset and a knack for designing web apps
- Excellent communication skills and ability to convey design decisions to stakeholders across all departments 
- Deep expertise in visual and system design
- Experience creating wireframes, user flows and UX architecture
- Ability to perform research including- competitor analysis, moderated and unmoderated usability testing, guerrilla testing etc. 
- Consideration for long-term sustainability in all design decisions, with a focus on engineering feasibility and business impact
- Experience working with Sketch, prototyping and design tools such as InVision and Photoshop required
- Visual/ Graphic design in depth knowledge and experience </t>
  </si>
  <si>
    <t>https://www.foodpanda.sg/contents/jobs?gh_jid=2081023</t>
  </si>
  <si>
    <t>jane.tampubolon@gmail.com</t>
  </si>
  <si>
    <t>Agustina Vivi - Associate Market Manager</t>
  </si>
  <si>
    <t>Jane is a team player with collaborative and solution oriented mindset. She's always being data driven in any kind of work she does.</t>
  </si>
  <si>
    <t>Working Visa (for any relocation opportunities)</t>
  </si>
  <si>
    <t>Ryan Hartanto</t>
  </si>
  <si>
    <t>COHIVE</t>
  </si>
  <si>
    <t>https://www.linkedin.com/in/ryanhartanto/</t>
  </si>
  <si>
    <t>ryan88.hartanto@gmail.com</t>
  </si>
  <si>
    <t>Alberto Tani, Head of Corporate Strategy @ COHIVE</t>
  </si>
  <si>
    <t>Jason Lee, CEO @ COHIVE</t>
  </si>
  <si>
    <t>Ryan has a broad experience in sales and customer management. He works hard and never give up. He has a high sense of ownership, willing to do extra mile, and possess a high integrity to his work friendly to everyone. Lastly, he is friendly to everyone.</t>
  </si>
  <si>
    <t>Required working permit for outside Indonesia</t>
  </si>
  <si>
    <t>Barkah Agung Sanyoto</t>
  </si>
  <si>
    <t>Moneysmart.id (PT. Loangarage Indonesia)</t>
  </si>
  <si>
    <t>https://www.linkedin.com/in/barkah-agung-sanyoto-a6334945</t>
  </si>
  <si>
    <t>Chief Financial Officer</t>
  </si>
  <si>
    <t>• Supervise the recording of all accounting transaction into the system for both AR, AP, Assets and payments.
 • Supervise the weekly and monthly account closing tasks.
 • Reconcile all company accounts.
 • Submit reports to the CEO and board as required on weekly/monthly/quarterly basis.
 • Submit all monthly Tax payment to Revenue Department; PND 1, 3, 53, 50, 51, PP 30, 36.
 • Issue TWI 50 for all staff and PND 91 for foreign staff.
 • Issue invoice, receipt, and withholding tax.
 • Prepare/update reports on weekly/daily/monthly basis.
 • Deal with external parties including external audit, RD and bank provider.
 • Process transactions from Excel and accounting programs, including Quickbooks and Xero.
 • Manage the use of Expensify and other 3rd-party accounting tools.
 • Prepare financial slides for presentations.
 • Proactively identify problems and potential solutions to accounting matters.
 • Be a key decisionmaker and innovator with the company.
 • Any ad-hoc reports to support / provide to CEO.</t>
  </si>
  <si>
    <t>• At least 5 years’ experience as a senior accountant or controller.
 • Experience with intercompany transactions.
 • Registered accountant, CPA is preferable. BBA in Accounting or higher.
 • Extensive experience with accounting software.
 • Extensive expertise with Thai financial laws and regulations.
 • Can speak Thai and English.</t>
  </si>
  <si>
    <t>Fling Company Limited</t>
  </si>
  <si>
    <t>Drone or UAV</t>
  </si>
  <si>
    <t>https://fling.asia/</t>
  </si>
  <si>
    <t>barkahbas@gmail.com</t>
  </si>
  <si>
    <t>Nurma, my friend</t>
  </si>
  <si>
    <t>Nimash Salitha Stefano, Sales Director @ Lifepal.co.id</t>
  </si>
  <si>
    <t xml:space="preserve">Barkah is detailed person and very keen to everyone while he is respecred by others. He has a lot of experience in HR area in Indonesia (Law, HR System, performance managememt, Recruitment, etc. </t>
  </si>
  <si>
    <t>Jason Leonardo</t>
  </si>
  <si>
    <t>Content Operation Lead</t>
  </si>
  <si>
    <t>Kuaishou</t>
  </si>
  <si>
    <t>https://www.linkedin.com/in/jason-leonardo/</t>
  </si>
  <si>
    <t>jasonleonardo93@gmail.com</t>
  </si>
  <si>
    <t>Keimmy Xu, Country Manager @ Hago</t>
  </si>
  <si>
    <t>Ofelia Li, Country Manager @ Kuaishou</t>
  </si>
  <si>
    <t>Jason works really hard and ready to work until late night exceed the expectation we put on him. Really have helped me in building and launching new app to Indonesia market.</t>
  </si>
  <si>
    <t>info@fling.asia</t>
  </si>
  <si>
    <t>Ratna Adriani Djohan</t>
  </si>
  <si>
    <t>Engineering intern (Raspi application development)</t>
  </si>
  <si>
    <t>PT Subang Autocomp Indonesa (Yazaki Corporation)</t>
  </si>
  <si>
    <t>https://www.linkedin.com/in/ratna-djohan-b65b1012a</t>
  </si>
  <si>
    <t>ratnaadjohan@gmail.com</t>
  </si>
  <si>
    <t>William Chandra, Senior software engineer @ Docdoc</t>
  </si>
  <si>
    <t>Rozi Hendarta</t>
  </si>
  <si>
    <t>Software Engineer: Web Backend</t>
  </si>
  <si>
    <t>Digital Performance Marketing</t>
  </si>
  <si>
    <t>Design and implement web backend services using Python + Django/Flask</t>
  </si>
  <si>
    <t>Julo</t>
  </si>
  <si>
    <t>https://www.linkedin.com/in/rozihendarta</t>
  </si>
  <si>
    <t xml:space="preserve">- Bachelor's or higher degree in Computer Science or related fields
- Passionate about coding and programming, innovation, and solving challenging problems
- Hands-on experiences in Web Service frameworks and technologies such as Django, Ruby On Rails, or Node.js
- Familiar with HTTP protocol
- Familiar with performance tuning of Web Server, massive concurrency handling, and caching mechanisms
- In-depth understanding of data structures and other computer science fundamentals
- Familiar with Linux development environments\
- Hands-on experiences and knowledge on relational databases such as MySQL(preferred)
</t>
  </si>
  <si>
    <t>E-commerce</t>
  </si>
  <si>
    <t>rozihendarta@gmail.com</t>
  </si>
  <si>
    <t>Henita Destriani Sihotang, Performance Marketing Specialist @ Dana</t>
  </si>
  <si>
    <t>https://grnh.se/b7a736852us</t>
  </si>
  <si>
    <t>Reny Ajeng</t>
  </si>
  <si>
    <t>https://www.linkedin.com/in/reny-ajeng/</t>
  </si>
  <si>
    <t>renyajeng@gmail.com</t>
  </si>
  <si>
    <t>Salman Al Hakim at Nodeflux</t>
  </si>
  <si>
    <t>Krisna Adi Wiyana</t>
  </si>
  <si>
    <t>https://www.linkedin.com/in/krisnaadiwiyana/</t>
  </si>
  <si>
    <t xml:space="preserve">apply via URL link </t>
  </si>
  <si>
    <t>krisna.adiwiyana@gmail.com</t>
  </si>
  <si>
    <t>Reny Ajeng - Offline Specialist Marketing @ Nodeflux</t>
  </si>
  <si>
    <t>Shitania</t>
  </si>
  <si>
    <t>Senior Partnerships Manager</t>
  </si>
  <si>
    <t>Elliot Communications</t>
  </si>
  <si>
    <t>https://www.linkedin.com/in/shintania-shintania-64552060/</t>
  </si>
  <si>
    <t>Software Engineer: Web Frontend</t>
  </si>
  <si>
    <t>Design and develop frontend features that will be used by millions of Shopee app users.</t>
  </si>
  <si>
    <t>- More than 2 years of relevant experience
- Passionate about coding, innovation, and solving challenging problems
- Loves building user-facing features, keen eye for UI/UX
- Proficiency in Javascript
- Strong understanding of fundamental algorithms and data structures
- Excellent working attitude, problem solving and critical thinking skills
- Familiar with React and/or React Native (Preferred)
- Familiar with modern FE development toolchain: NPM, Babel, ESLint, Flow, Jest etc (Preferred)</t>
  </si>
  <si>
    <t>https://grnh.se/ec7057112us</t>
  </si>
  <si>
    <t>shintania.shin@gmail.com</t>
  </si>
  <si>
    <t>Ryan, Associate Director @Elliot Communications</t>
  </si>
  <si>
    <t>Meirina Orchidanti Sanubari</t>
  </si>
  <si>
    <t>Operations Lead</t>
  </si>
  <si>
    <t xml:space="preserve">Dimo Pay (Traveloka Group) </t>
  </si>
  <si>
    <t>meirinasanubari@gmail.com</t>
  </si>
  <si>
    <t>Gregory, CEO Dimo Pay Indonesia</t>
  </si>
  <si>
    <t>Sofiya, Field Operation Agent</t>
  </si>
  <si>
    <t>Sofiya is passionate and lively.</t>
  </si>
  <si>
    <t>Raden Finta S</t>
  </si>
  <si>
    <t>TechOps Engineer</t>
  </si>
  <si>
    <t>Provides productional software, intelligent engines and stable system architectures, devotes themselves to build a DevOps ecosystem to integrate all resource and tools, eliminates the gap between Ops and Devs.</t>
  </si>
  <si>
    <t>Field Collection Support</t>
  </si>
  <si>
    <t>- Bachelor’s or higher degree in Computer Science, Engineering, Information Systems or related fields
- More than 2 years of relevant experience
- PIn-depth understanding of computer science fundamentals (data structures and algorithms, operating systems, networks, databases, etc)
- Strong and hands-on experience with at least one of the; programming languages: Go, Python, C++, Java
- Experience with automation tools like Ansible, SaltStack (Preferred)
- Experience with monitoring tools like Prometheus, Zabbix, Grafana etc (Preferred)
- Experience with load balancing tools like LVS, Nginx, Openresty or HAProxy (Preferred)
- Experience with container technology such as Docker, Kubernetes (Preferred)
- Experience with VM technology such as KVM, Xen, OpenStack (Preferred)
- Experience in design and development of large-scale distributed systems (Preferred)
- Experiences in middleware development, deployment, and operations  (Preferred)</t>
  </si>
  <si>
    <t>PT Akulaku Finance Indonesia</t>
  </si>
  <si>
    <t>http://linkedin.com/in/radenfinta</t>
  </si>
  <si>
    <t>https://grnh.se/f1bb31662us</t>
  </si>
  <si>
    <t>radenfinta1993@gmail.com</t>
  </si>
  <si>
    <t>Dina Fatma, BD @ Traveloka</t>
  </si>
  <si>
    <t>Nicholas Trinugroho, Head Bussiness Development</t>
  </si>
  <si>
    <t>his hardworker and good leader for his team.</t>
  </si>
  <si>
    <t>Rangga Kusuma</t>
  </si>
  <si>
    <t>https://www.linkedin.com/in/ranggavskusuma/</t>
  </si>
  <si>
    <t>Product Management</t>
  </si>
  <si>
    <t>ranggavskusuma@gmail.com</t>
  </si>
  <si>
    <t>Adhy, Head of Tech @ Hacktiv8</t>
  </si>
  <si>
    <t>Maulana Yusup</t>
  </si>
  <si>
    <t>Operation Specialist</t>
  </si>
  <si>
    <t>Dimo Pay Indonesia</t>
  </si>
  <si>
    <t>Linkedin.com/in/maulana-yusup</t>
  </si>
  <si>
    <t xml:space="preserve">
- Drive product definition and execute staged development cycle to ensure complete solutions are architected to fulfill business needs and requirements, with balance between speed and sustainability
- Co-own product roadmap along with product lead and business stakeholders to ensure product direction is aligned with both short term and long term business goals
Own and drive new applications/features across multiple product lines (E.g. Listing, User, Search and Promotion), establish clear milestones with visible progress regularly
- Cultivate a work culture of excellence, commitment, and ownership. Mentor and lead the team towards greater professionalism
- Drive continuous improvements in fundamental product features like category tree and attribute system, product upload (single vs batch) and automated marketplace abuse control
- Deliver high quality Product Requirements Document (PRD) and user manual
Analyze, understand and share learnings to build a strong knowledge base of the product</t>
  </si>
  <si>
    <t xml:space="preserve">
- Bachelor’s degree required, preferably in Computer Science, Information System, E-commerce
- Ideally 5+ years’ experience managing software products and projects at an internet product company, experience in e-commerce is a plus. All level of experiences are welcomed.
- Experience in product technical design such as system architect and data/database schema
- Hands-on involvement in product development cycle from requirements gathering to engineering/QA to actual release and post release performance/scalability monitoring
- Extremely data-obsessed, and execution focused
- Strong Analytical and Presentation skills
- Energetic, positive attitude and team player
- Excellent organisational and planning skills</t>
  </si>
  <si>
    <t>Oellayusup12@gmail.com</t>
  </si>
  <si>
    <t>Meirina Sanubari, Manager @ Dimo Pay Indonesia</t>
  </si>
  <si>
    <t>Ecommerce</t>
  </si>
  <si>
    <t>https://careers.shopee.sg/jobs/?region_id=1&amp;dept_id=108&amp;limit=20&amp;offset=0</t>
  </si>
  <si>
    <t>Sofiya</t>
  </si>
  <si>
    <t>Operations</t>
  </si>
  <si>
    <t>Sofiya S</t>
  </si>
  <si>
    <t>Sofirahma016@gmail.com</t>
  </si>
  <si>
    <t>Meirina Orchidanti Sanubari, Manager @Dimo Pay Indonesia</t>
  </si>
  <si>
    <t>Aaqib Alvi</t>
  </si>
  <si>
    <t>Business Manager</t>
  </si>
  <si>
    <t>AI Love Venture</t>
  </si>
  <si>
    <t>https://www.linkedin.com/in/aqb589/</t>
  </si>
  <si>
    <t>aqb589@gmail.com</t>
  </si>
  <si>
    <t>Sales, BD and Partnerships, Exec team, Design</t>
  </si>
  <si>
    <t>Julie, CEO @ Whizzkidz.com</t>
  </si>
  <si>
    <t>Ranjini V, Director, jini@whizzkidz.com.sg</t>
  </si>
  <si>
    <t>Aaqib is the most helpful and fun guys around to.have, especially during pressure situations. He knows how to lead a team and take care of them.</t>
  </si>
  <si>
    <t>Astri Yunia Saraswati</t>
  </si>
  <si>
    <t>Merchant Relationship Managemet</t>
  </si>
  <si>
    <t>sastriyunia@gmail.com</t>
  </si>
  <si>
    <t xml:space="preserve">Please apply via the URL link on the left. </t>
  </si>
  <si>
    <t>Meirina, Field Operations Lead @ Dimo Pay Indonesia (Traveloka Group)</t>
  </si>
  <si>
    <t>Calvin Perdana Harianto Putra</t>
  </si>
  <si>
    <t>Project Management of Civil Engineering</t>
  </si>
  <si>
    <t>Wujudkan Indonesia</t>
  </si>
  <si>
    <t>https://www.linkedin.com/in/chperdana/</t>
  </si>
  <si>
    <t>Technical Project Management (SRE / Infrastructure / Ops Dev)</t>
  </si>
  <si>
    <t xml:space="preserve">
- Conduct the entire Shopee technical project life cycle from requirements gathering to deployment including Shopee data pipeline product, cloud product, IT infrastructure and technical platform to achieve business goals (e.g. specialized cache system)
- Prepare for database operation/expansion by studying plans and requirements; advising technical management; coordinating design, migration, and integration. Maintain database stability by setting and enforcing operation standards and controls
- Analyze database resource usage, propose and plan for database/server optimization to increase server resource utilization/efficiency
- Drill with Shopee infrastructure team for Shopee databases and Shopee Cloud databases and deal with Disaster Recovery (DR) planning, setup, management
- Plan IT infrastructure for major marketing events (e.g. 11.11 sales), including planning resource, improving technical product and database performance, and coordinating stress tests. Plan and deliver IT infrastructure (data center, server, network and etc) capacity as well as manage resources
- Prioritize requirements from various stakeholders such as business operations, product management, application system developers, etc
- Establish clear milestones with visible progress regularly to ensure timely project delivery</t>
  </si>
  <si>
    <t xml:space="preserve">
- Bachelor's degree in Computer Science, a related technical field or equivalent practical experience
- Bilingual in English and Mandarin Chinese to deal with stakeholders 
- Experience in DevOps, Disaster Recovery and Capacity Planning would be preferred
- Experience supporting or driving technical programs in network deployment/engineering, product design, network content delivery or data center networking within telecommunications or Internet industries would be preferred 
- Experience working with cloud components to develop highly scalable and available systems including APIs, automation, and data warehousing/analytics would be preferred 
- Excellent written and verbal communication to interact effectively with both technical and non-technical stakeholders at all levels of the organization
- Ability to work in a fast-paced and agile environment</t>
  </si>
  <si>
    <t>https://careers.shopee.sg/job-detail/2808/</t>
  </si>
  <si>
    <t>calvinperdanaharianto@gmail.com</t>
  </si>
  <si>
    <t>Toronata Tambun, Founder and Director of Aren Energy Investment Pte. Ltd</t>
  </si>
  <si>
    <t>Yes I do have one, her name is Dimas Dwi Andini Friesari the COO of Wujudkan Indonesia</t>
  </si>
  <si>
    <t xml:space="preserve">I would like to vouch for Dimas Dwi Andini Frieasari. Andini is remarkable woman for her knowledge and expertise in product development and managing day to day operation. For me personally, her devotion for company is unquestionable since we share same value and same goal to create resilient and sustainable society. </t>
  </si>
  <si>
    <t>ASEAN Visa Free Travel, for Working Matters must apply for working permit visa</t>
  </si>
  <si>
    <t>Steve K. K.</t>
  </si>
  <si>
    <t>Qwikfab</t>
  </si>
  <si>
    <t>https://www.linkedin.com/in/stevekk/</t>
  </si>
  <si>
    <t>stevekumar74@gmail.com</t>
  </si>
  <si>
    <t>Sales, BD and Partnerships, Engineering, Product, Ops, Exec team</t>
  </si>
  <si>
    <t>Kenny Lew, The Innovators Institute</t>
  </si>
  <si>
    <t>Thanh Tuan VU</t>
  </si>
  <si>
    <t>Head of Hardware Engineer (IoT)</t>
  </si>
  <si>
    <t>Smove System Pte Ltd</t>
  </si>
  <si>
    <t>www.linkedin.com/in/thanh-t-vu-93894089</t>
  </si>
  <si>
    <t xml:space="preserve">
- You will be working in a regional team, involved in the end to end design process for e-Commerce products (mobile and web) to serve the local market audience from South East Asia and Taiwan.
- You will have experience in defining and communicating design guidelines to maintain competitiveness.
- You will influence and work to bring teams together to drive towards a singular goal of making a product design successful.
- You will have a chance to collaborate with cross-functional teams from this region to define, design and deliver forward-looking solutions.
- You will have a chance to experience cross-platform designs (Web/App) and develop your ideas with user research, prototypes, wireframes, storyboards and evaluate your success through usability testing.
- Interested to find out more about Shopee Design Team? Keep your eyes peeled on Shopee Design's Instagram and Medium! </t>
  </si>
  <si>
    <t xml:space="preserve">
- Bachelor Degree, with outstanding fundamental design skills and genuine interest to venture into a career in digital design.
- Good understanding of the design philosophy and practical experience in user experience design and related fields.
- Ability to move, adapt and change and iterate quickly.  
- Capable to work in collaborative teams to define use cases, requirements and deliver the best experience for millions of customers.
- Internship experiences in the eCommerce industry or Product Design is a plus.
- Ability to speak one of the languages besides English: Bahasa Indonesia, Chinese, Thai, Vietnamese, Tagalog in order to communicate more efficiently with teams from one of our markets is a plus.
- Please provide your portfolio in addition to your resume. It can be an attached soft-copy or a URL. Submissions without a portfolio included will not be considered.</t>
  </si>
  <si>
    <t>https://careers.shopee.sg/jobs/?region_id=1&amp;dept_id=104&amp;name=&amp;limit=20&amp;offset=0</t>
  </si>
  <si>
    <t>vtthanh83@gmail.com</t>
  </si>
  <si>
    <t>Regina, former smove HR coordinator</t>
  </si>
  <si>
    <t>James Lam, former CTO @ Smove</t>
  </si>
  <si>
    <t>Thanh is one of the most talented yet humble colleagues I have had the pleasure working with. Over a period of 4 years he designed, prototyped and put into production crucial IoT hardware solutions enabling the business to be optimised at scale, serving clients such as Uber, Grab, Hertz and Avis. He is very dedicated and passionate about his area of expertise in addition to being fun and popular member of the team. I would certainly hire him again</t>
  </si>
  <si>
    <t>Nacho Gonzalez</t>
  </si>
  <si>
    <t>https://www.linkedin.com/in/ignaciogonzalezolias/</t>
  </si>
  <si>
    <t>iggolias@gmail.com</t>
  </si>
  <si>
    <t>San San Lim, former HR Coordinator @ Smove</t>
  </si>
  <si>
    <t>Lex van Lynden</t>
  </si>
  <si>
    <t>Head of Growth</t>
  </si>
  <si>
    <t>https://www.linkedin.com/in/lex-van-lynden-8b516b49/</t>
  </si>
  <si>
    <t>Automation QA</t>
  </si>
  <si>
    <t>As a QA engineer within one of our product engineering teams—along with your team and product owner—We are looking for highly driven, talented and self-motivated engineers to join a team of world-class engineers. Test engineers would need to be able to lead and implement the test strategy, primarily for automation and manual as well, working closely with the product engineering group. They would also work on the latest cutting-edge internet/software technology.
 Responsibilities:
 Create detailed, comprehensive and well-structured test plans and test cases
 Estimate, prioritise, plan, and coordinate testing activities
 Design, develop and execute
 Automation scripts using open source tools
 Identify, record, document thoroughly and track bugs
 Perform thorough regression testing when bugs are resolved</t>
  </si>
  <si>
    <t>Bachelor degree in computer science, software engineering or any related areas
 Basic Knowledge of Performance &amp; Security Testing and Linux/Unix commands
 Experience of working agile process management methodology
 Experience of working with Web, Mobile and API Testing in both manual &amp; automation testing
 Fluent in English both written and oral
 Great interpersonal and communication skills as need to closely work with remote teams
 Have 4+ years of experience as quality assurance or software tester in mobile platforms (iOS dan Android)
 Have deep understanding of Manual &amp; Automation test methodologies and principles; Capable to create testing scenario/testing script
 Highly Experienced with automation tools such as Katalon Studio, Jira, Git, GitLab, CI-CD Pipeline, Appium, Browser Stack, Kobiton, Selenium, RestAssured, using Java (preferably) / Python / Groovy etc.
 Solid analytical and problem-solving skills
 Fluent in English both written and oral
 Background as software engineer, ability to code (Scripting) is highly preferable</t>
  </si>
  <si>
    <t>Dkatalis</t>
  </si>
  <si>
    <t>https://boards.greenhouse.io/dkatalislabs/jobs/4024365003</t>
  </si>
  <si>
    <t>LvanLynden@gmail.com</t>
  </si>
  <si>
    <t>Sharad @ dahmakan</t>
  </si>
  <si>
    <t>Julis Setyawan</t>
  </si>
  <si>
    <t>PT. Indopay Merchant Services</t>
  </si>
  <si>
    <t>https://www.linkedin.com/in/julis-setyawan-231712121</t>
  </si>
  <si>
    <t>Julis.setyawan93@gmail.com</t>
  </si>
  <si>
    <t>TechLead</t>
  </si>
  <si>
    <t>Sandy haryono, General Manager @ PT. Indopay Merchant Services</t>
  </si>
  <si>
    <t>We’re looking for a Tech Lead to join our high performing team. If you’re looking to be a part of a team who tackle real-world financial problems, Dkatalis Labs might just be the place for you! Work alongside world-class talent and join us as we use sophisticated data and analytics to make a change in the financial world. 
 As a Tech Lead, you will be shaping and implementing strategic solutions to ensure DKatalis stays on the bleeding edge of technology. You would be contributing across the design decisions, technology stack, covering web development, API development, DB communication/ handshake, performance and security measures.
 Responsibilities:
 Responsible for designing and developing a system for web and mobile platform 
 Develop and maintain high-performance system 
 Uses Agile engineering practices (coding practices, Unit testing, automation, code reviews, refactoring, continuous integration, continuous deployment) to develop efficient solutions 
 Collaborate with other team members across functions to deliver complex solutions</t>
  </si>
  <si>
    <t>Abdul Rachman, Product Engineer</t>
  </si>
  <si>
    <t>a creative person with highly skilled in design</t>
  </si>
  <si>
    <t>Bachelor’s Degree in Computer Science/IT/Programming or related fields 
 At least 7-10 years of development experience with knowledge of Agile practices 
 Excellent in at least 2 of the following languages (NodeJs, Java, Dart, Flutter, React Native) and excited to learning new languages/technologies
 Familiar with all aspects of MVC web applications 
 Familiar with popular databases with hands-on experience in MySQL and MongoDB 
 Experience of designing RESTful APIs, OAuth 2, Swagger
 Experience in leading technical team delivering complex solution
 Exposure to Lean/XP development methods (TDD, Pair Programming, Scrum, Kanban, Continuous Integration/Delivery)—or a passion for learning and applying these.
 Communicate, collaborate, and work effectively across distributed teams in a global environment.
 A passion for quality and best practices but with a pragmatism that understands the balance between perfection and delivering value in a timely manner.
 Good written and spoken English.</t>
  </si>
  <si>
    <t>Treb David Sy Piecco</t>
  </si>
  <si>
    <t>Marketing Officer</t>
  </si>
  <si>
    <t>Metro Central Mall Inc. &amp; MS Department Store Inc.</t>
  </si>
  <si>
    <t>linkedin.com/in/treb-david-abejo-sy- piecco-8078b11a3</t>
  </si>
  <si>
    <t>https://boards.greenhouse.io/dkatalislabs/jobs/4046298003</t>
  </si>
  <si>
    <t>mcm.marketing22@gmail.com</t>
  </si>
  <si>
    <t>Ms. Yvana Hwang</t>
  </si>
  <si>
    <t>Diana Jane Diane, Property Manager</t>
  </si>
  <si>
    <t>Arnold Brian Manacsa, Sales Executive</t>
  </si>
  <si>
    <t>Priasta Arkan Perdana</t>
  </si>
  <si>
    <t>Jr. Digital and Content Marketing Staff</t>
  </si>
  <si>
    <t>https://www.linkedin.com/in/arkan-perdana-8705a915b</t>
  </si>
  <si>
    <t>Arkan.sajja@gmail.com</t>
  </si>
  <si>
    <t>Hera Prasetia, Product Ownder @ Qatros</t>
  </si>
  <si>
    <t>Fadli Rizal, Bhaskoro Muthohar, Faisal Fajmi</t>
  </si>
  <si>
    <t>Ega Almira Shae</t>
  </si>
  <si>
    <t>Content Strategist, SEO Writer</t>
  </si>
  <si>
    <t>KoinWorks</t>
  </si>
  <si>
    <t>https://www.linkedin.com/in/ega-almira-shae-373953121</t>
  </si>
  <si>
    <t>Work on assimilating and analyzing business requirements, assessing the various issues, planning activities, allocating resources and working closely with various stakeholders to produce specific documentation for the survey management system.</t>
  </si>
  <si>
    <t>Prefer minimum of 2 years’ experience in business analysis or a related field, however Fresh grads are welcome
Good analytical and conceptual thinking skills.
Have the ability to influence stakeholders and work closely with them to determine acceptable solutions.
Acceptable technical skills.
Good documentation skills.
Competency in Microsoft applications including Word, Excel, and Outlook.
Have good history of delivering project successfully (in school or at work)</t>
  </si>
  <si>
    <t>Ackerman Global Search</t>
  </si>
  <si>
    <t>Apply via sending CV to ivan.ong@ackermanglobal.com (Please indicate that you had been referred by this channel)</t>
  </si>
  <si>
    <t>Data Analyst (Data management)</t>
  </si>
  <si>
    <t>almira95.as@gmail.com</t>
  </si>
  <si>
    <t>Responsible for conducting end to end analysis of the data, identifying any gaps and suggesting solutions to transform the data to promote efficiency in data analysis and making appropriate business decisions.                                                                                                                                                                                 Work on development and management of a government agency central data system both on Azure and on-premises for the downstream applications thereby enabling the company to access various data sources through simple MS SQL relational tables. 
Handling the maintenance of data in MS SQL to promote integrity, optimize T-SQL queries to reduce data processing and encryption time, assemble a data warehouse using Microsoft DTS package to ETL to clean data, modified SSIS packages and set up Remote Desktop Services (RDS) and Microsoft Azure Data Science Machine. 
Participate or lead in data migration project(s) and work on troubleshooting of ETL failures.</t>
  </si>
  <si>
    <t>TSQL, PowerShell and Python scripting
C# Programming
Microsoft Tech Stack - SQL Server - integration services (SSIS), Power BI Report Server (SSRS), and Analysis Services (SSAS)
Microsoft Azure Data Science Machine and on-prem
Analysing Data with Power BI.
using Power BI &amp; DAX and created an executive dashboard to support the IT team on helpdesk cases</t>
  </si>
  <si>
    <t>Walter Pinem</t>
  </si>
  <si>
    <t>Livia Nathania</t>
  </si>
  <si>
    <t>Graphic Design Lead</t>
  </si>
  <si>
    <t>https://id.linkedin.com/in/livia-nathania-1b2119174</t>
  </si>
  <si>
    <t>Fullstack Dev</t>
  </si>
  <si>
    <t>As a full stack engineer within one of our product engineering teams—along with your team and product owner—you will be responsible for imagining, building, deploying and running one or more of these products. You will own the future of this product, ensure its quality, and get to see the impacts of your efforts for many people in their everyday lives.
 Responsibilities:
 Working with your team and product owners to refine and develop the product direction and implementation.
 Writing great quality, scalable, and maintainable code.
 Ensuring all codes are thoroughly covered by automated tests, and all features meet quality checks before deployment.
 Deploying, monitoring, maintaining, and fixing products in production.
 Contributing to the constant improvement of practices and processes in the team.</t>
  </si>
  <si>
    <t>You have at least +2 years of professional experience in a similar role developing high quality software.
 Excellent in at least one of the following languages (NodeJs, Java, Dart, Flutter, React Native) and excited to learn new languages/technologies.
 Exposure to Lean/XP development methods (TDD, Pair Programming, Scrum, Kanban, Continuous Integration/Delivery)—or a passion for learning and applying these.
 Any DevOps (Infrastructure as Code, Build pipelines, monitoring, etc.) experience would be highly regarded.
 Communicate, collaborate, and work effectively across distributed teams in a global environment.
 A passion for quality and best practices but with a pragmatism that understands the balance between perfection and delivering value in a timely manner.
 Good written and spoken English.</t>
  </si>
  <si>
    <t>https://boards.greenhouse.io/dkatalislabs/jobs/4022227003</t>
  </si>
  <si>
    <t>christa.livia.n@gmail.com</t>
  </si>
  <si>
    <t>Harris Limanto, Head of Design @ airyrooms</t>
  </si>
  <si>
    <t xml:space="preserve">Livia is a team player with collaborative and creative person. She is detailed person and very keen to everyone while she is respected by others. </t>
  </si>
  <si>
    <t>Jules Perrot</t>
  </si>
  <si>
    <t>Gobal Sales Manager</t>
  </si>
  <si>
    <t>Mnubo</t>
  </si>
  <si>
    <t>https://www.linkedin.com/in/julesperrot/</t>
  </si>
  <si>
    <t>julesperrot94@gmail.com</t>
  </si>
  <si>
    <t>GM Asia - Tim Young</t>
  </si>
  <si>
    <t xml:space="preserve">Aditya Pendyala - Co-founder and VP Growth. </t>
  </si>
  <si>
    <t>Jules is the kind of person that gives energy to the people around him. From the teams he works with to customers, he has a unique ability to build strong connections. He is passionate about his company and his craft, a real asset that helped grow Mnubo to where we are today.</t>
  </si>
  <si>
    <t>Require EP support</t>
  </si>
  <si>
    <t>As a Software Engineer in Augmentus, you will be responsible with designing, developing and implementing the Augmentus mixed reality robot programming platform. You will also be managing existing clients and understanding their development demands and how to synergise with the Augmentus platform.</t>
  </si>
  <si>
    <t>Utami Nurcahyani Puji Rahayu</t>
  </si>
  <si>
    <t>Based full-time in Singapore, Advanced knowledge in C# or Java, Advanced knowledge in Unity/Unreal Game Engine is preferred</t>
  </si>
  <si>
    <t>Augmentus</t>
  </si>
  <si>
    <t>https://id.linkedin.com/in/thamy-nurcahyani-5491a8b4</t>
  </si>
  <si>
    <t>daryllim@augmentus.tech</t>
  </si>
  <si>
    <t>thamy.nurcahyani@gmail.com</t>
  </si>
  <si>
    <t>Harris Limanto, Head of Design @airyrooms</t>
  </si>
  <si>
    <t>Thamy is a hard worker and skilled designer. She always contributes fresh ideas at team meetings and on projects.</t>
  </si>
  <si>
    <t>Frontend Lead</t>
  </si>
  <si>
    <t>Yohana Angeline</t>
  </si>
  <si>
    <t>Public Relations Executive</t>
  </si>
  <si>
    <t>https://www.linkedin.com/in/johana-angeline-770839114/</t>
  </si>
  <si>
    <t>What will you do
 - Lead a small solid team of developers and front end GURU.
 - Work on projects from conception to birth for the next unicorn start up
 - Design and build Front end for Mobile, Desktop and Android App - your creativity will be used to reflect the core values of the business.
 - Solve technical problems within the team.
 - Mentor Junior member</t>
  </si>
  <si>
    <t>What are the requirements
 - Javascript, React and React Native solid skill
 - Golang, PHP
 - HTML, CSS and responsive design
 - React Native development
 - Passion in software engineering, especially in building rich applications
 - Experience in web technologies (React, React Native &amp; Javascript)
 - Possess strong debugging skills.
 - Bachelor's degree in Computer science or equivalent degree.
 - Good Algorithm knowledge
 - Experience in writing unit test and integ test is a plus but not mandatory
 - Experience 4+</t>
  </si>
  <si>
    <t>Shipper.id</t>
  </si>
  <si>
    <t>angelinejohana@gmail.com</t>
  </si>
  <si>
    <t>Ega Almira Shae, Content Writer KoinWorks</t>
  </si>
  <si>
    <t>Muhammad Palangka Husni</t>
  </si>
  <si>
    <t>Pegipegi</t>
  </si>
  <si>
    <t>https://www.linkedin.com/in/ankabaik/</t>
  </si>
  <si>
    <t>Logistic and Supply Chain</t>
  </si>
  <si>
    <t>https://shipper.freshteam.com/jobs</t>
  </si>
  <si>
    <t>ankabaik@gmail.com</t>
  </si>
  <si>
    <t>Anthony Sudhana Creative Manager, Ocky Clarinton Creative Lead</t>
  </si>
  <si>
    <t>Bagus Widodo Nusihono</t>
  </si>
  <si>
    <t>Digital Marketing</t>
  </si>
  <si>
    <t>Mobilkamu.com</t>
  </si>
  <si>
    <t>lauransia@shipper.id</t>
  </si>
  <si>
    <t>https://www.linkedin.com/in/baguswnusihono/</t>
  </si>
  <si>
    <t>Onboarding Project Manager</t>
  </si>
  <si>
    <t>What will you do:
 - Customer Focus: Passionate about exceeding our customer's expectations. You push yourself, and the entire team to ensure our customers new projects are successfully deployed.
 - Problem Solver: You enjoy solves problems and always thinking outside of the box to find creative solutions to challenges. You will be expected to use your experience to know when problems might surface, and stay ahead of it with a plan, so programs are delivered as expected.
 - Project Management: You will use your project management skills to keep track of all the parts to ensure Shipper delivered what has been promised to its customers.
 - Transparency and Communication: You are focused on communication so all teams are tightly connected and know what's already happened and what's happening next.</t>
  </si>
  <si>
    <t>What are the requirements
 - Candidate must possess at least Bachelor's Degree in any field.
 - At least 5 Year(s) of working experience in customer-facing project delivery roles.
 - Great organizational skills. Proven ability to prioritize, manage and deliver multiple, complex project on time.
 - Strong leadership qualities and organizational skills as well as the ability to adapt quickly to changing priorities, assignments, and roles.
 - Highly self-motivated and feels at home working with aggressive schedules.
 - Able to build strong working relationships across multiple teams.
 - Superior communication skills.
 - Positive attitude, team player, adaptable, resourceful, and self-starter who is able to work independently.</t>
  </si>
  <si>
    <t>bagusnusihono@gmail.com</t>
  </si>
  <si>
    <t>Rizka, Relations Manager @ Mobilkamu.com</t>
  </si>
  <si>
    <t>Srinivas Sri Perumbuduru</t>
  </si>
  <si>
    <t>GoQuo</t>
  </si>
  <si>
    <t>https://www.linkedin.com/in/spsrinivas30/</t>
  </si>
  <si>
    <t>spsrinivas30@gmail.com</t>
  </si>
  <si>
    <t>Ross Veitch, CEO@Wego</t>
  </si>
  <si>
    <t>Ron Ramanan - CEO, GoQuo</t>
  </si>
  <si>
    <t>Indian national. Have work visa in Malaysia.</t>
  </si>
  <si>
    <t>Charlotte Bradburn</t>
  </si>
  <si>
    <t>Midweight Graphic Designer</t>
  </si>
  <si>
    <t>The Light Agency</t>
  </si>
  <si>
    <t>https://www.linkedin.com/in/charlotte-bradburn-a91a3141/</t>
  </si>
  <si>
    <t>Strategy and Special Project Manager</t>
  </si>
  <si>
    <t>What will you do
 - Define, scope, plan and lead business process improvement projects across departments to deliver efficiencies
 - Determine business needs and operations requirements, identifying areas to change and establish action priorities by applying best practices
 - Communicate and work collaboratively across departments to resolve complex process issues
 - Acting as an internal consultant by understanding business needs, scoping data requests, synthesizing insights, and recommending solutions to key management
 - Continuously evaluating and refining analytical approaches, processes, and operations to ensure business process is providing the highest level of impact.
 - Performing data driven experiments and operating in an agile environment, communicating insights to key management and influencing teams to take action based on your recommendations.
 - Foster an environment of teamwork between the departments and offices and model high level leadership and communications skills</t>
  </si>
  <si>
    <t>What are the requirements:
 - Outstanding academic track record from a leading university. MBA/MS is a plus.
 - Minimum 5 years of working experience in consulting, business management, operation strategy, data analysis field. 
 - Experience in fast-pace culture/start-up company is a plus.
 - Strong analytical skill, business acumen, and strategic thinking.
 - Excellent verbal and written communication skills.
 - Fluent in English is a must.
 - Ability to prioritize and deliver on multiple projects.
 - Superior problem-solving skills and ability to work well under pressure in a demanding environment.</t>
  </si>
  <si>
    <t>designbycharl@gmail.com</t>
  </si>
  <si>
    <t>Austin Knight Design @ Google Linked in post</t>
  </si>
  <si>
    <t>Clair Heaviside (The Light Agency)</t>
  </si>
  <si>
    <t>Oliver Zebedee (Shoot the Moon Design &amp; Photography)</t>
  </si>
  <si>
    <t>Swaroop Kumar Madala</t>
  </si>
  <si>
    <t>Senior data engineer</t>
  </si>
  <si>
    <t>https://www.linkedin.com/in/swaroop-kumar-m-40b093bb/</t>
  </si>
  <si>
    <t>madala.swaroop@yahoo.com</t>
  </si>
  <si>
    <t>Srinivas Product head GoQuo</t>
  </si>
  <si>
    <t>Srinivas Product Head</t>
  </si>
  <si>
    <t>Muktar Sayed Saleh</t>
  </si>
  <si>
    <t>https://www.linkedin.com/in/mukhtarsayedsaleh/</t>
  </si>
  <si>
    <t>Sr. Data Engineer</t>
  </si>
  <si>
    <t>mokhtar_ss@hotmail.com</t>
  </si>
  <si>
    <t>What will you do
 - Design and develop regular reports and actionable dashboards to track business performance
 - Responsible for advanced data analytics and statistical modeling to extract insights from data that results in better logistics services
 - Use the quantitative skill sets to drive product roadmap and development 
 - Evaluate data management in Shipper Logistics organization
 - Filter, clean and continuously manage data by reviewing data sources across different tools and systems
 - Acquire data from primary or secondary data sources and maintain databases
 - Own and manage multiple data initiatives and projects both on an ongoing and ad-hoc basis</t>
  </si>
  <si>
    <t>CEO@GoQuo</t>
  </si>
  <si>
    <t>What are the requirements
 - Bachelor degree in Computer Science, Business Analytics or related quantitative fields (Mathematics, Economics, Computer Science, Information Management or Statistics). 
 - Ability to write complex SQL queries and preferably experience with MySQL, PostgreSQL, MongoDB and data visualisation tools (Chartio,Tableau, etc). 
 - Proficiency in one or more programming languages including but not limited to Python, R Strong communication and presentation skills 
 - Experience with ETL process is a plus
 - Experience with AWS ecosystem is a plus 
 - 3-5 years of experience in an analytical role 
 Detail oriented, analytical and inquisitive 
 - Fluent in verbal and written in English &amp; Indonesian</t>
  </si>
  <si>
    <t>Srinivas, Head of Product, Travlytix.com</t>
  </si>
  <si>
    <t>I need working visa for myself and my family members as well, my current one still valid until end of October</t>
  </si>
  <si>
    <t>Yen Tran</t>
  </si>
  <si>
    <t>IT Business Analyst</t>
  </si>
  <si>
    <t>https://www.linkedin.com/in/zoeytran/</t>
  </si>
  <si>
    <t>yensama.619@gmail.com</t>
  </si>
  <si>
    <t>Leo Felix</t>
  </si>
  <si>
    <t xml:space="preserve">Front-end Angular Developer, UI &amp; UX </t>
  </si>
  <si>
    <t>https://www.linkedin.com/in/leo-felix-95b4552a/</t>
  </si>
  <si>
    <t>leofelixnam@gmail.com, leovirtools@gmail.com</t>
  </si>
  <si>
    <t>Product, Data and analytics, Design</t>
  </si>
  <si>
    <t>Anna-Katharina Leusder</t>
  </si>
  <si>
    <t>Head of Client Success</t>
  </si>
  <si>
    <t>https://www.linkedin.com/in/anna-leusder-753bb851</t>
  </si>
  <si>
    <t>leusderanna@gmail.com</t>
  </si>
  <si>
    <t>Sri, Head of Product @GoQuo</t>
  </si>
  <si>
    <t>Srinivas, Head of Product @GoQuo</t>
  </si>
  <si>
    <t>Agus Wahyu Annasir</t>
  </si>
  <si>
    <t>What will you do
 - Develop sales strategies to acquire new customers or clients. 
 - Analyse sales data on sales results and develop plans to address performance gaps. 
 - Collaborate with marketing team to develop lead generation plans. 
 - Designing and implementing a strategic sales plan that expands Shipper’s customer base and ensure its strong presence 
 - Achieving growth and hitting sales targets by successfully managing the sales team 
 - Managing objectives setting, coaching and performance monitoring of sales representatives 
 - Build and promote strong, long-lasting customer relationships by partnering with them and understanding their needs 
 - Present sales, revenue and expenses reports and realistic forecasts to the management team 
 - Maintain a deep understanding of customer needs and monitor their preferences. 
 - Resolve escalated customer issues and customer complaints regarding sales and service. 
 - Provide advanced negotiation expertise.</t>
  </si>
  <si>
    <t>Backend Developer</t>
  </si>
  <si>
    <t>DataOn</t>
  </si>
  <si>
    <t>What are the requirements
 - Bachelor’s degree in business or related field. 
 - Successful previous experience as a sales representative or sales manager who consistently meeting or exceeding targets 
 - Demonstrated ability to communicate, present and influence credibly and effectively at all levels of the organization 
 - Proven experience to drive the sales process from plan to close 
 - Strong business sense and industry expertise 
 - Excellent mentoring, coaching and people management skills 
 - Experience in customer relationship management. 
 - Experience managing and directing a sales team. 
 - Excellent written and verbal communication skills. 
 - Successful experience building a territory from scratch is a plus</t>
  </si>
  <si>
    <t>https://www.linkedin.com/in/agus-wahyu-annasir-883a5695/</t>
  </si>
  <si>
    <t>aguswahyuannasir@gmail.com</t>
  </si>
  <si>
    <t>Willy Fitra Hendria</t>
  </si>
  <si>
    <t>Fast Learning</t>
  </si>
  <si>
    <t>Ronald mustika putra my project manager and very nice people</t>
  </si>
  <si>
    <t>Indonesia or singapura</t>
  </si>
  <si>
    <t>Sam Richardson</t>
  </si>
  <si>
    <t>HeyBryan (Prev. Sony PlayStation)</t>
  </si>
  <si>
    <t>https://www.linkedin.com/in/samrichardsondesign/</t>
  </si>
  <si>
    <t>hello@samrichardson.design</t>
  </si>
  <si>
    <t>Marketing, Product, Ops, Design</t>
  </si>
  <si>
    <t>Austin Knight - Google</t>
  </si>
  <si>
    <t>Banafshe Saleh (Content writer &amp; Content Strategist)</t>
  </si>
  <si>
    <t>Sam was the ideal creative director to work with. His creativity constantly inspired me to come to him with fresh ideas and his compassionate leadership style drove me to deliver bigger and better results. He’s the best!</t>
  </si>
  <si>
    <t>Ignatius Hermawan</t>
  </si>
  <si>
    <t>Procurement Executive</t>
  </si>
  <si>
    <t>https://www.linkedin.com/in/ignatius-hermawan-32aa03164/</t>
  </si>
  <si>
    <t>ignaitush16@gmai.com</t>
  </si>
  <si>
    <t>Marketing, Product, Finance, Ops, Data and analytics, Design</t>
  </si>
  <si>
    <t>Gabrilena Nadya - Senior Procurement and Process Improvement</t>
  </si>
  <si>
    <t>Tech Lead - Backend</t>
  </si>
  <si>
    <t>What will you do
 - Architecture and design of highly available/scalable backend services 
 - Design and write well-structured, easily maintainable, and thoroughly tested code
 - Works with product team to refine product requirements
 - Provide internal support and scalability of our engineering environment</t>
  </si>
  <si>
    <t>Marco De Vivo</t>
  </si>
  <si>
    <t>What are the requirements
 - Must have a Bachelor's Degree (preference given to Computer Science, Engineering)
 - Understanding one or more programming language (PHP/NodeJS at the minimum Golang is a Plus)
 - Familiarity with MongoDB and MySQL
 - Experience with AWS ecosystem
 - Minimum of 5 years experience
 - Familiarity with Agile is a plus
 - Have strong analytical and problem solving skill
 - Team player and willing to learn
 - Fluency in English is a plus</t>
  </si>
  <si>
    <t>Chief Commercial and Marketing Officer</t>
  </si>
  <si>
    <t>Bespokify (fashion-tech)</t>
  </si>
  <si>
    <t>www.linkedin.com/in/marcodevivo</t>
  </si>
  <si>
    <t>mcdevivo@gmail.com</t>
  </si>
  <si>
    <t>Mario Peng, Partner @ Peng Ventures</t>
  </si>
  <si>
    <t>Work visa required</t>
  </si>
  <si>
    <t>Stepfano</t>
  </si>
  <si>
    <t>Head Of UX</t>
  </si>
  <si>
    <t>CIAYO</t>
  </si>
  <si>
    <t>https://www.linkedin.com/in/fransiskus-stepfano/</t>
  </si>
  <si>
    <t>fransiskus.stepfano@gmail.com</t>
  </si>
  <si>
    <t>Copywriter (Japanese Speaker)</t>
  </si>
  <si>
    <t>Ferry Tan, Android Engineer @Mekari</t>
  </si>
  <si>
    <t>Erick Liemarga, ex-CTO CIAYO Comics</t>
  </si>
  <si>
    <t>Lim Si En</t>
  </si>
  <si>
    <t>Manager</t>
  </si>
  <si>
    <t>Blue Mirror Pte Ltd</t>
  </si>
  <si>
    <t>https://www.linkedin.com/in/limsien/</t>
  </si>
  <si>
    <t>The Copywriter works with designers to own content calendars and campaign execution for a set of brands in Japan or for Japan market. At VaynerMedia, we’re lucky that everyone within our walls thinks strategically, shares a passion for emerging technology, and understands the world of both big campaigns and content.
Our copywriters serve a slightly different role than more traditional “digital creative types,” but thankfully we’ll never use the term “digital ninja.”
The task at hand:
- Own a range of creative work from content calendars to campaigns.
- Work with a designer within a dynamic team structure with several creative leads, helping to support and deliver on our core product and brand-specific campaigns.
- Organize and help direct content photoshoots with our in house studio.
- Care more about conceptual, writing, developing, and putting the team in the best position to present our ideas than you do about getting credit for the work.
- Be as much of a friendly mentor as a proficient doer when working within our dynamic Brand team structure.</t>
  </si>
  <si>
    <t>Who are you?
- You’re an ultimate team player who will create value in any situation.
- You understand creative problem solving and have a passion for storytelling on every platform.
- You’re an adaptable idea person who understands that a good idea can come from anywhere.
- You’re highly observant and write because you love to.
- You can execute quickly and manage your time well.
- You’re aware of your strengths and your weaknesses.
- You’re cool in the face of a challenge.
- You'll be working primarily within the digital realm, so the portfolio you submit should reflect this, however, we love seeing your overall solutions and ideas throughout your book.
The ideal candidate has
- A Bachelor’s degree and 1-3 years of experience copywriting, developing, and creating for digital/social.
- Experience or interest in finance, or past work on a financial brand.
- Strong conceptual/brainstorming skills.
- Strategic thinking skills and a passion for ideating strategically focused campaigns.
- The ability to follow directions and take constructive criticism.
- An aptitude for time management, organization, and communication.
- Strong presentation skills and the desire to present work to the client.
- A talent for wearing multiple brand hats and switching easily among brand voices.
- A passion for storytelling, a mastery of grammar and the English language, and the ability to tailor your writing to tell that story on a variety of platforms.
- The ability to effectively collaborate with various teams, providing the most useful guidance in an enthusiastic and inspiring manner.
- Mastery of industry best practices and the platforms we love, as well as be willing to learn and articulate the unique VaynerMedia POV on each
- A sparkling personality that will mesh well with the existing VaynerMedia family and a smile on their face a majority of the time.
- A basic understanding of UI/UX and an interest in the big social media platforms and their abilities/limitations.
- Experience working with designers, developers, and team-focused creative process.
- An obsession with sports, music, food, comedy, [fill in the blank] -we love people who can bring their own interests into the mix.
- Please submit a digital portfolio with resume submissions.</t>
  </si>
  <si>
    <t>Vaynersin Pte Ltd</t>
  </si>
  <si>
    <t xml:space="preserve">Advertising </t>
  </si>
  <si>
    <t>https://www.linkedin.com/jobs/cap/view/1793259757/?pathWildcard=1793259757&amp;trk=job_capjs</t>
  </si>
  <si>
    <t>sienmordaunt@gmail.com</t>
  </si>
  <si>
    <t>Ops, Data and analytics, Exec team, HR, People, Talent</t>
  </si>
  <si>
    <t>SEAriously awesome googlesheet</t>
  </si>
  <si>
    <t>Olivia Susanto</t>
  </si>
  <si>
    <t>Civil Engineer</t>
  </si>
  <si>
    <t>PT WIN ELECTROINDO HEAT</t>
  </si>
  <si>
    <t>http://linkedin.com/in/olivia-susanto-aab539191</t>
  </si>
  <si>
    <t>Oliviasusanto@icloud.com</t>
  </si>
  <si>
    <t>Marketing, Sales, BD and Partnerships, Engineering, Product</t>
  </si>
  <si>
    <t>Matt</t>
  </si>
  <si>
    <t>Through link: https://www.linkedin.com/jobs/cap/view/1793259757/?pathWildcard=1793259757&amp;trk=job_capjs 
or email ashikin.norrahim@vaynermedia.com</t>
  </si>
  <si>
    <t>Christianto Leonard</t>
  </si>
  <si>
    <t>https://www.linkedin.com/in/christianto-leonard-80039267</t>
  </si>
  <si>
    <t>Media Analyst (Native Bahasa Indonesia Speaker)</t>
  </si>
  <si>
    <t>christiantoleonard@gmail.com</t>
  </si>
  <si>
    <t>We are seeking driven individuals with analytical backgrounds to join our Paid Media Team. The Digital Media Analyst role is an entry-level position for a strong career path.
General Qualifications
- You thrive in a dynamic, fast-paced, high-energy environment
- You are both a creative and highly-analytical person
- You are detail-oriented and organized
- You want to have an impact and feel passionate about the work that you do
- You are driven and hungry for success, and always want to learn more
- You are a team player and enjoy collaboration</t>
  </si>
  <si>
    <t>Responsibilities
- Setup and daily management of advertising campaigns across various digital platforms.
- Ongoing, real-time optimization of live media to ensure client goals are met and/or exceeded
- Provide media planning assistance for upcoming campaigns, helping determine platforms to run on, audiences to target, creative strategies to implement, and more including the setup, implementation, and measurement of various controlled A/B tests
- Assist with client-facing campaign reporting and write-ups to ensure relevant metrics and insights are shown
- Constantly work to improve campaign performance, insights collection, and takeaways, and generally strive to “over-deliver” to clients.
Required Skills/Experience
- A BA or BS degree (Economics, Mathematics, Statistics, or Finance a plus) or
- Entrepreneurial street creds
- Advanced skills in Excel including pivot tables and macros
- Ability to problem solve and think critically
- Proven track record of managing multiple projects at once
- Ability to stay highly organized and efficient in a fast-paced, rigorous work environment</t>
  </si>
  <si>
    <t>Malik akbar @hacktiv8</t>
  </si>
  <si>
    <t>Malik Akbar as Product Manager</t>
  </si>
  <si>
    <t>Elfril as HR manager</t>
  </si>
  <si>
    <t>Indonesian visa</t>
  </si>
  <si>
    <t>https://www.linkedin.com/jobs/cap/view/1778538200/?pathWildcard=1778538200&amp;trk=job_capjs</t>
  </si>
  <si>
    <t>Puji Utami</t>
  </si>
  <si>
    <t>https://www.linkedin.com/in/pujiatiutami/</t>
  </si>
  <si>
    <t>utami.puji41@gmail.com</t>
  </si>
  <si>
    <t>Indri Mahadiraka, founder saveyourselves.id</t>
  </si>
  <si>
    <t>Imam Gumandar, Product Design Lead of Pegipegi</t>
  </si>
  <si>
    <t>Aziz Zainudin</t>
  </si>
  <si>
    <t>Backend or Fullstack Engineering</t>
  </si>
  <si>
    <t>PT. Indodev Niaga Internet</t>
  </si>
  <si>
    <t>Through link: https://www.linkedin.com/jobs/cap/view/1778538200/?pathWildcard=1778538200&amp;trk=job_capjs
or email ashikin.norrahim@vaynermedia.com</t>
  </si>
  <si>
    <t>https://www.linkedin.com/in/aziz-zainudin-2293bb10a/</t>
  </si>
  <si>
    <t>Project Manager (Operations Specialist)</t>
  </si>
  <si>
    <t>aziz.zaind@gmail.com</t>
  </si>
  <si>
    <t>Candidate will assist in business operations and communicating project expectations related to Shopline. 
 You will have to track, analyse reports and develop improvement plans to 
 improve customer service and customer relationships.</t>
  </si>
  <si>
    <t>Fluent in English, Mandarin or Bahasa Malaysia. 
 Experience in Management, Operations and Leadership.
 Experience leading a team in dealing with over 1000-2000 projects concurrently.
 Detail oriented and strong problem solving and analytical skills.</t>
  </si>
  <si>
    <t>Shopline M Sdn. Bhd</t>
  </si>
  <si>
    <t>Mr. Husein</t>
  </si>
  <si>
    <t>Aziz Zainudin is fast to learn new language of programming, and good team for work</t>
  </si>
  <si>
    <t>Alim Nur Iqra Al Muqarram</t>
  </si>
  <si>
    <t>https://shopline.my</t>
  </si>
  <si>
    <t>Software Enginerr ( Backend )</t>
  </si>
  <si>
    <t>https://www.linkedin.com/in/alimnuriqra/</t>
  </si>
  <si>
    <t>noeralim21@gmail.com</t>
  </si>
  <si>
    <t>Gustav Nugraha (Lead Software Engineer) on KoinWorks</t>
  </si>
  <si>
    <t>Rana Pratama</t>
  </si>
  <si>
    <t>Marketing Analyst</t>
  </si>
  <si>
    <t>PT. Lunaria Annua Teknologi</t>
  </si>
  <si>
    <t>https://www.linkedin.com/in/rana-pratama-6254a5123/</t>
  </si>
  <si>
    <t>amanda.ng@shoplineapp.com</t>
  </si>
  <si>
    <t>ranapratamarasjad@gmail.com</t>
  </si>
  <si>
    <t>Marketing, Accounting, Finance</t>
  </si>
  <si>
    <t>Utami Damimo @ KoinWorks</t>
  </si>
  <si>
    <t>CHOO HAO CONG DESMOND</t>
  </si>
  <si>
    <t>Senior Business Analyst</t>
  </si>
  <si>
    <t>https://www.linkedin.com/in/desmond-choo-687a81149/</t>
  </si>
  <si>
    <t>Candidate will be responsible for the development, monitoring and review of business strategy 
 that maximises profit by driving sales and controlling costs. 
 Responsible for leading and building a motivated and high performing team 
 through proper guidance and planning.</t>
  </si>
  <si>
    <t>2-4 years of experience as Head of Operations, Operations director or similar leadership role. 
 Experience with implementing IT systems. 
 Knowledge of data analytics and reporting. 
 Good with numbers and financial planning.</t>
  </si>
  <si>
    <t>desmondchoo42@hotmail.com</t>
  </si>
  <si>
    <t>Tay Si Song</t>
  </si>
  <si>
    <t>Tag Teoh Kang Wei</t>
  </si>
  <si>
    <t>Concept Designer</t>
  </si>
  <si>
    <t>Hostel Hunting Sdn Bhd</t>
  </si>
  <si>
    <t>https://www.linkedin.com/in/tag-teoh-kang-wei-35a62576/</t>
  </si>
  <si>
    <t>tagteoh@gmail.com</t>
  </si>
  <si>
    <t>Georjinah Anne, Marketing Manager @ LiveIn.com</t>
  </si>
  <si>
    <t>Ivy Salcedo</t>
  </si>
  <si>
    <t>Delegates Sales Executive</t>
  </si>
  <si>
    <t>Q8 Pte Ltd</t>
  </si>
  <si>
    <t>Graphic/ Multimedia Designer</t>
  </si>
  <si>
    <t>ivysalcedo@live.com</t>
  </si>
  <si>
    <t>Candidate will have to perform all scheduled and adhoc tasks related to graphic and multimedia design. 
 He/she will be responsible for editing and producing motion graphics, videos and visuals related to 
 social media marketing and content for both internal and client- based projects.</t>
  </si>
  <si>
    <t>Fluent in Bahasa Malaysia, Mandarin and English. 
 Diploma or Degree in Graphic Design, Multimedia design or Visual communication.
 Working knowledge in Adobe CC like Illustrator, Photoshop, After Effects, and MacOS.
 A sense of job-ownership, punctuality and humility.</t>
  </si>
  <si>
    <t>Praveen Jose, Solutions Architect @ Govtech</t>
  </si>
  <si>
    <t>Achmad Feisal Anshari</t>
  </si>
  <si>
    <t>https://www.linkedin.com/in/achmadfeisal/</t>
  </si>
  <si>
    <t>Key Accounts Manager - Health &amp; Beauty &amp; Fashion</t>
  </si>
  <si>
    <t>Candidate is responsible for Shopline's merchant account management. 
 He/she will have to develop and maintain relationships with key merchants and develop strategic business plans 
 and identify new sources of growth.</t>
  </si>
  <si>
    <t>Fluent in Bahasa Malaysia, Mandarin and English. 
 1-3 years of experience in the Health &amp; beauty and fashion industry.
 Sincere relationship-builder, self-motivator and team player.
 Knowledge of e-commerce and start-up culture.</t>
  </si>
  <si>
    <t>achmadfeisalanshari@gmail.com</t>
  </si>
  <si>
    <t>LinkedIn Post</t>
  </si>
  <si>
    <t>Yoanna Fidwika - Head of BD OYO</t>
  </si>
  <si>
    <t>Feisal is a person who think logically, problem solving, and work based on data. And because of these he gives us the great pesentation, negotiating scheme dealing, and great data to action to maximize the results. He is a good leader &amp; someone who can be relied on. He is a great person to work with &amp; i look forward to any opportunity work with him again.</t>
  </si>
  <si>
    <t>EP except for Indonesia</t>
  </si>
  <si>
    <t>Christ Allen Sinaga</t>
  </si>
  <si>
    <t>Airy Indonesia</t>
  </si>
  <si>
    <t>https://www.linkedin.com/in/christ-allen-sinaga-207724113/</t>
  </si>
  <si>
    <t>Lead Generation Specialist/ Telemarketer</t>
  </si>
  <si>
    <t>Candidate will have to contact business individuals or merchants via telephone to explain the different 
 services and packages offered. He/she will have to maintain a database of prospective merchants, answer
 enquiries and schedule appointments for sales consultants to meet with potential merchants.</t>
  </si>
  <si>
    <t>Self motivated and driven to reach sales goals. 
 Organised and good time management skills. 
 Good command of spoken and written Chinese, English &amp; Bahasa Malaysia.
 A Marketing background is preferred.</t>
  </si>
  <si>
    <t>christallen94@gmail.com</t>
  </si>
  <si>
    <t>BD and Partnerships, Ops, Exec team, HR, People, Talent</t>
  </si>
  <si>
    <t>Airy Rooms</t>
  </si>
  <si>
    <t>Erwin Suriansiah Head Of Operations</t>
  </si>
  <si>
    <t>Muhammad Iman Adi Perkasa</t>
  </si>
  <si>
    <t>Corporate Communication Analyst</t>
  </si>
  <si>
    <t>PT Bukit Makmur Mandiri Utama</t>
  </si>
  <si>
    <t>https://www.linkedin.com/in/adi-perkasa-19026560/</t>
  </si>
  <si>
    <t>adiperkasa.imam@gmail.com</t>
  </si>
  <si>
    <t>Ronald Sutardja, CEO @ BUMA</t>
  </si>
  <si>
    <t>Joe Lai</t>
  </si>
  <si>
    <t>TTwoWeb</t>
  </si>
  <si>
    <t>https://www.linkedin.com/in/joe-lai-69a545151</t>
  </si>
  <si>
    <t>Sales Consultant</t>
  </si>
  <si>
    <t>Candidate has the task of converting leads to happy customers through good communication and continuous
 follow-ups with a positive and helpful attitude. 
 He/she will have to learn and understand our product/ service and stay updated with new product features
 and collaborate with the sales team to meet the monthly sales target.</t>
  </si>
  <si>
    <t>A quick learner who's curious and passionate about e-commerce. 
 Good command of spoken and written Chinese, English and Bahasa Malaysia.
 2-4 years work experience in Sales. 
 Self- motivated and driven to achieve sales goals.</t>
  </si>
  <si>
    <t>Lwj94@hotmail.com</t>
  </si>
  <si>
    <t>Marketing, Sales, Product, Data and analytics</t>
  </si>
  <si>
    <t>Piter Tan</t>
  </si>
  <si>
    <t>Nikhil Thakkar</t>
  </si>
  <si>
    <t>Expansions Strategy and Growth</t>
  </si>
  <si>
    <t>Bounce</t>
  </si>
  <si>
    <t>https://www.linkedin.com/in/nikhil-thakkar-8902224b/</t>
  </si>
  <si>
    <t>nik.thakkar@hotmail.com</t>
  </si>
  <si>
    <t>Gaurav Jain, Product Manager at IQ Education</t>
  </si>
  <si>
    <t>Feradhia Astarisa Sulistiyo</t>
  </si>
  <si>
    <t>Customer Success</t>
  </si>
  <si>
    <t>iSeller</t>
  </si>
  <si>
    <t>https://www.linkedin.com/in/feradhia/</t>
  </si>
  <si>
    <t>Junior Frontend Developer</t>
  </si>
  <si>
    <t>feradhiaasp@gmail.com</t>
  </si>
  <si>
    <t>Fara, Recruiter @ Qerja</t>
  </si>
  <si>
    <t>Mrunal Mody</t>
  </si>
  <si>
    <t>Data Steward/Data Modeler</t>
  </si>
  <si>
    <t>Populus Financial Group</t>
  </si>
  <si>
    <t>You will be working with top shipping experts and a tech team to create features for shipping solutions. You will be responsible for front-end development creating web based user interfaces and mobile applications. Your familiarity in product design will help a good deal.</t>
  </si>
  <si>
    <t>https://www.linkedin.com/in/modymrunal</t>
  </si>
  <si>
    <t>• Fresh grad with Bachelor Degree in Computer Science or equivalent
 • Proficient in HTML 5, CSS 3 and top level JavaScript, TypeScript expertise
 • Ability to write code in Angular 6, Native
 • Passionate about coding and problem solving
 • Tremendously positive attitude
 • Eager to learn and grasp concepts fast
 • UI/UX design experience will be helpful</t>
  </si>
  <si>
    <t>Maritime Technologies (R&amp;D) Pte Ltd
 www.shipsfocus.com</t>
  </si>
  <si>
    <t>Maritime technology</t>
  </si>
  <si>
    <t>mrunal.mody1@gmail.com</t>
  </si>
  <si>
    <t>Engineering, Product, Ops, Data and analytics, Exec team</t>
  </si>
  <si>
    <t>https://www.glassdoor.sg/job-listing/junior-frontend-developer-shipsfocus-JV_IC3235921_KO0,25_KE26,36.htm?jl=3520882015&amp;sbPid=607735</t>
  </si>
  <si>
    <t>Alice Hong</t>
  </si>
  <si>
    <t>Advance AI</t>
  </si>
  <si>
    <t>https://www.linkedin.com/in/hongalice/</t>
  </si>
  <si>
    <t>alicexuhong@gmail.com</t>
  </si>
  <si>
    <t xml:space="preserve">Friend </t>
  </si>
  <si>
    <t xml:space="preserve">Eugene Chong, Business Analyst Lead (Advance AI) </t>
  </si>
  <si>
    <t>Alice is super dedicated and has strong attention to detail and therefore would be a great fit for any start up looking for product/ ops people to grow their teams.</t>
  </si>
  <si>
    <t>Maurice Lee</t>
  </si>
  <si>
    <t>Senior Associate, Strategy &amp; Research Lead</t>
  </si>
  <si>
    <t>HYPE Asia</t>
  </si>
  <si>
    <t>https://www.linkedin.com/in/mauriceplee/</t>
  </si>
  <si>
    <t>maurice.pm.lee@gmail.com</t>
  </si>
  <si>
    <t>BD and Partnerships, Product, Finance, Data and analytics, Design</t>
  </si>
  <si>
    <t>Based in Hong Kong, but have experience with SG, MY, ID, TH, PH, VN</t>
  </si>
  <si>
    <t>Kevin Hoong, Former SEA Market Lead @ HYPE Asia</t>
  </si>
  <si>
    <t>Scrappiness and proactive in asking for feedback/ high level of self-awareness.</t>
  </si>
  <si>
    <t>I am a citizen of both Hong Kong and the United Kingdom, so would likely require visa sponsorship.</t>
  </si>
  <si>
    <t>Syadzwina Putri Ghaisani</t>
  </si>
  <si>
    <t>General Affair</t>
  </si>
  <si>
    <t>PT Nodeflux Teknologi Indonesia</t>
  </si>
  <si>
    <t>www.linkedin.com/in/syadzwina-putri-ghaisani-3ab71b1a3</t>
  </si>
  <si>
    <t>hr@shipsfocus.com</t>
  </si>
  <si>
    <t>syadzwinaputri@gmail.com</t>
  </si>
  <si>
    <t>Mahadi, Project Manager @ Lintas Arta</t>
  </si>
  <si>
    <t>Wenny Anggola - Accounting</t>
  </si>
  <si>
    <t xml:space="preserve">Kenny Faras Athariq - Business Development </t>
  </si>
  <si>
    <t>Vadim Murmis</t>
  </si>
  <si>
    <t>Director for Business Development, Partnerships and Strategy</t>
  </si>
  <si>
    <t>LR-Group</t>
  </si>
  <si>
    <t>https://www.linkedin.com/in/vadim-murmis-67946b14a/</t>
  </si>
  <si>
    <t>vmurmis@gmail.com</t>
  </si>
  <si>
    <t>Israel</t>
  </si>
  <si>
    <t>We're looking for a Singapore-based Sales person for port services. You just have to be hungry for sales and learn fast.
 • Product knowledge training and customers list provided
 • Meet customers to present and sell company's product and service
 • Build good relationship with customer
 • Gather customers’ feedback for improvements</t>
  </si>
  <si>
    <t>Notification via Linkedin</t>
  </si>
  <si>
    <t>• No prior industry experience needed
 • Persistent and hungry for sales
 • Outbound sales experience is preferred
 • Learn fast
 • Love to meet people
 • Fluent in English and preferably Mandarin as well</t>
  </si>
  <si>
    <t>ALS (Singapore) Pte Ltd</t>
  </si>
  <si>
    <t>Mark Ayres</t>
  </si>
  <si>
    <t>Design Research Lead</t>
  </si>
  <si>
    <t>FreeState</t>
  </si>
  <si>
    <t>https://www.linkedin.com/in/markayres/</t>
  </si>
  <si>
    <t>mark.ayres@btinternet.com</t>
  </si>
  <si>
    <t>Austin Knight</t>
  </si>
  <si>
    <t>Nathan Bell, Regional Director, FreeState</t>
  </si>
  <si>
    <t>Will need a work permit</t>
  </si>
  <si>
    <t>Toh Wei Min Alvin</t>
  </si>
  <si>
    <t>Robotic engineer trainee</t>
  </si>
  <si>
    <t xml:space="preserve">Race Academy </t>
  </si>
  <si>
    <t>https://www.linkedin.com/in/toh-alvin-540311171</t>
  </si>
  <si>
    <t>Senior Marketing Manager</t>
  </si>
  <si>
    <t xml:space="preserve">We are looking for a Senior Marketing Manager to lead and scale our marketing team. The successful candidate will: 
- be the main driver in positioning Janio as the top logistics player in SEA, increasing market share and building corporate brand awareness with the aim to boost revenue generation
- build a culture of marketing excellence by nurturing high performing teams of omni-channels marketing such as corporate branding, mobile, social media, SEO, SEM, events and partnership 
- deliver company’s set targets, brand and marketing metrics and ROI through active monitoring and optimization of marketing campaign performance. </t>
  </si>
  <si>
    <t>Min 5 - 7 years of demonstrated leadership in omni-channels marketing, especially strong experience in building brand reputation and revenue growth through corporate communications and digital marketing
Hands on involvement in entire marketing lifecycle from conceptualization through and post-launch measurement of success
Deep business leadership experience with cross-functional skills, having been instrumental in scaling up businesses.
Excellent logical reasoning skills and deep understanding of market trends, especially ecommerce space.</t>
  </si>
  <si>
    <t>nivlahot2302@gmail.com</t>
  </si>
  <si>
    <t>Sales, Engineering, Design</t>
  </si>
  <si>
    <t>Janio Asia</t>
  </si>
  <si>
    <t>https://janio.darwinbox.com/ms/candidate/careers/5e28197d7f704</t>
  </si>
  <si>
    <t>Satya Gumilang</t>
  </si>
  <si>
    <t>Ui/UX Design Lead</t>
  </si>
  <si>
    <t>IBM Indonesia</t>
  </si>
  <si>
    <t>https://www.linkedin.com/in/satyagumilang/</t>
  </si>
  <si>
    <t>sgumilang@gmail.com</t>
  </si>
  <si>
    <t>Chan Chuan Peng (David)</t>
  </si>
  <si>
    <t>Senior Centre Executive</t>
  </si>
  <si>
    <t>NTUC Foodfare</t>
  </si>
  <si>
    <t>https://www.linkedin.com/in/davidchuanpengchan</t>
  </si>
  <si>
    <t>yiqian.see@janio.asia</t>
  </si>
  <si>
    <t>davidchan74@gmail.com</t>
  </si>
  <si>
    <t>Sales, Engineering, Product, Ops, Exec team</t>
  </si>
  <si>
    <t>RACE Robotics, enquiries@raceacademy.com.sg</t>
  </si>
  <si>
    <t>Charles Zhang</t>
  </si>
  <si>
    <t>UX Designer &amp; Researcher</t>
  </si>
  <si>
    <t>Polarr</t>
  </si>
  <si>
    <t>https://www.linkedin.com/in/charles-zhang-design/</t>
  </si>
  <si>
    <t>Head of Commercial, Shenzhen</t>
  </si>
  <si>
    <t>The success candidate will:
- Play a leading role in planning and executing Janio's commercial milestones in respective geography consistently
- Enforce strong collaboration across multiple functions (both locally and regionally) to effectively translate the company’s vision into actionable commercial strategies
- Take ownership of Janio’s commercial health and represent our clients to all internal stakeholders
- Own the design and implementation of Janio’s most critical go-to-market processes and initiatives
- Actively develop and facility effective internal and external partnerships and communications to drive business growth
- Own the key accounts management functions and maintain a strong client-partner relationship with our clients to support their regional growth
- Drive revenue generation and inherit the sales pipeline, reporting, and analysis which supports overall target setting for the Asia region
- Assume P&amp;L responsibilities for key markets under your charge</t>
  </si>
  <si>
    <t>Min. 8 years of working experience in a commercial strategy role and proven leadership track record in an ecommerce or logistics capacity. Related experience in management consulting, cross-border ecommerce is a plus.
· Have a decent understanding of logistics across the B2C, B2B and Fulfilment space.
· Proven leadership and track-record in building and managing large teams, communicating expectations and execution under strict time pressure
· Strong business intuition: Experience breaking down complex business problems into key levers digestible next steps.
· Ability to synthesize product and business vision into effective development roadmap.
· Strong project management skills, with success owning complicated cross-functional programs and projects to timelines across common goals</t>
  </si>
  <si>
    <t>charleszh113@gmail.com</t>
  </si>
  <si>
    <t>Shenzhen</t>
  </si>
  <si>
    <t>Borui Wang, CEO @ Polarr</t>
  </si>
  <si>
    <t>https://janio.darwinbox.com/ms/candidate/careers/5e451e2364c71</t>
  </si>
  <si>
    <t>Josafat Bambang S</t>
  </si>
  <si>
    <t>PT.OYO Rooms Indonesia</t>
  </si>
  <si>
    <t>https://www.linkedin.com/in/josafat-bambang-13b0b190/</t>
  </si>
  <si>
    <t>josafatcc@gmail.com</t>
  </si>
  <si>
    <t>Linkeldin</t>
  </si>
  <si>
    <t>Alvaro Quesada</t>
  </si>
  <si>
    <t>Regional Account Director</t>
  </si>
  <si>
    <t>TotallyAwesome</t>
  </si>
  <si>
    <t>https://www.linkedin.com/in/alvaroquesadaes/</t>
  </si>
  <si>
    <t>Head of Commercial, Indonesia</t>
  </si>
  <si>
    <t>alvaroquesada@gmail.com</t>
  </si>
  <si>
    <t xml:space="preserve">Van Tran, Manager, Marketing Planning &amp; Analysis @ NETFLIX </t>
  </si>
  <si>
    <t>LOC or EP</t>
  </si>
  <si>
    <t>https://janio.darwinbox.com/ms/candidate/careers/5e38cf53e7743</t>
  </si>
  <si>
    <t>Sarah Elise Ezzuddeen</t>
  </si>
  <si>
    <t>Influencer Marketing Executive</t>
  </si>
  <si>
    <t>www.linkedin.com/in/sarah-elise-ezzuddeen-399516165</t>
  </si>
  <si>
    <t>saraheliseezzuddeen@gmail.com</t>
  </si>
  <si>
    <t>Marketing, Sales, Design</t>
  </si>
  <si>
    <t>Sharad, VP of Marketing, dahmakan</t>
  </si>
  <si>
    <t>Vhysh, Senior Influencer Marketing Exec</t>
  </si>
  <si>
    <t>michelle augustine</t>
  </si>
  <si>
    <t>Associate Commercial Manager</t>
  </si>
  <si>
    <t>Target Media Nusantara</t>
  </si>
  <si>
    <t>www.linkedin.com/in/michelle-augustine-6b0b9b8b</t>
  </si>
  <si>
    <t>Head of Commercial, Malaysia</t>
  </si>
  <si>
    <t>michelle.augustine09@yahoo.com</t>
  </si>
  <si>
    <t>Samantha - Alpha JWC</t>
  </si>
  <si>
    <t>https://janio.darwinbox.com/ms/candidate/careers/5e330a48c1019</t>
  </si>
  <si>
    <t>working visa (due to indonesian citizenship)</t>
  </si>
  <si>
    <t>Hardyin Alexander Hutapea</t>
  </si>
  <si>
    <t>Tix ID</t>
  </si>
  <si>
    <t>https://www.linkedin.com/in/hardlexander/</t>
  </si>
  <si>
    <t>hardlexander@gmail.com</t>
  </si>
  <si>
    <t>Kabul Dasa, QA at Kargo Tech</t>
  </si>
  <si>
    <t xml:space="preserve">Laurencia </t>
  </si>
  <si>
    <t>Marketing Manager (for engagement &amp; loyalty program)</t>
  </si>
  <si>
    <t>Fuse Teknologi</t>
  </si>
  <si>
    <t>https://www.linkedin.com/in/abigail-laurencia-9206b16b</t>
  </si>
  <si>
    <t>The successful candidate will: 
be highly collaborative as the role will work closely with other business leaders and members to align and execute product development roadmap, especially so with engineering department to ensure product development timeline and roadmap are met.
have to be technical enough to understand how our underlying products are built and have a keen eye for detail. They are able to go extremely deep into the details of the product and its technical implementation while also being able to take a step back and strategize &amp; present the broader vision
be a master communicator that work to bring teams together to drive towards a singular goal of making a product successful</t>
  </si>
  <si>
    <t>At-least 2 years of experience in building software products as a Software Engineer/QA/Product Manager/Analyst etc.
Good understanding of the various technology stacks used for frontend as well as backend implementations.
Demonstrated track record of understanding and driving business requirements while working with various stakeholders.
Excellent written and verbal communication skills.
Analytical thinking with ability to ask the right questions to understand user problems and develop solutions.
Willingness to take end to end ownership and being accountable for the success of the product.</t>
  </si>
  <si>
    <t>https://janio.darwinbox.com/ms/candidate/careers/5e330f2dd285f</t>
  </si>
  <si>
    <t>abigaillaurencia@gmail.com</t>
  </si>
  <si>
    <t>fenny general manager central data technology</t>
  </si>
  <si>
    <t>Henry Marketing Director Fuse Teknologi</t>
  </si>
  <si>
    <t>"Cia, i can rely on you. since you join with this company i can think and have positive spirit to make it happen</t>
  </si>
  <si>
    <t>no visa needed for indonesia</t>
  </si>
  <si>
    <t>Jeremy Joseph Hanniel</t>
  </si>
  <si>
    <t>www.linkedin.com/in/jeremy-joseph-hanniel</t>
  </si>
  <si>
    <t>You have led engineering teams for startups that have a similar profile to us (SAAS/bootstrapped/ semi-distributed). You have shown how you support business outcomes by ensuring that the right technical people and processes are in place.
 Please see job link for more information : https://grnh.se/e74089be1us</t>
  </si>
  <si>
    <t>We are looking for a technical leader with a good track record of building excellent engineering teams, balancing people, technical and business requirements.
 Please see job link for more information : https://grnh.se/e74089be1us</t>
  </si>
  <si>
    <t>Piktochart</t>
  </si>
  <si>
    <t>Fully remote 
 Preferred: Asia timezone</t>
  </si>
  <si>
    <t>https://grnh.se/e74089be1us</t>
  </si>
  <si>
    <t>jeremyj.hanniel@gmail.com</t>
  </si>
  <si>
    <t>Fajar Firdaus, Engineering Manager @ Airy Rooms</t>
  </si>
  <si>
    <t>Sintiche Mayang Suwandi, Senior Product Manager @ Airy Rooms &amp; Nigel Chrisman Santosa, Product Manager @ Airy Rooms</t>
  </si>
  <si>
    <t>With his structured thinking, Jeremy will be able to help you validate ideas, as well as guide the execution step-by-step. His calmness combines with strong leadership and people management skill are always reflected in the satisfaction of the people who work with him.</t>
  </si>
  <si>
    <t>Only eligible for Indonesia</t>
  </si>
  <si>
    <t>Kumarason Renganathan</t>
  </si>
  <si>
    <t xml:space="preserve">Manufacturing Superintendent </t>
  </si>
  <si>
    <t xml:space="preserve">United Test &amp; Assembly Corporation </t>
  </si>
  <si>
    <t>https://www.linkedin.com/in/kumarason-renganathan-069a7010b</t>
  </si>
  <si>
    <t>kumarason@yahoo.com</t>
  </si>
  <si>
    <t>Engineering, Product, Ops, Data and analytics, HR, People, Talent, Design</t>
  </si>
  <si>
    <t xml:space="preserve">Sahmadi, Race Robotics </t>
  </si>
  <si>
    <t xml:space="preserve">Alvin Toh, Engineer </t>
  </si>
  <si>
    <t>Kumar is an evergreen learner &amp; is not short of motivation to learn. He regularly helps the trainers out where he can &amp; often facilitates the learning processes of others. He has a wealth of experience &amp; regularly advices his peers and partakes in classroom discussions.</t>
  </si>
  <si>
    <t>Yudhi Saputra</t>
  </si>
  <si>
    <t>Saas Business Executive (Sales)</t>
  </si>
  <si>
    <t>Urbanhire</t>
  </si>
  <si>
    <t>http://linkedin.com/in/yudhi-saputra-06943216a</t>
  </si>
  <si>
    <t>You have led product teams for startups that have a similar profile to us (SAAS/bootstrapped/ semi-distributed). You have shown how you support business outcomes through a cohesive product strategy. You work well with the other teams to achieve the business objective.
 Please see job link for more information: https://grnh.se/f753b52b1us</t>
  </si>
  <si>
    <t>You are someone who enjoys working with people, have led product teams before (preferably SAAS), and are excited to put the company in a position that will succeed. You will report directly to the CEO and will contribute to a great product culture by managing, coaching and developing our product (4 POs) and data teams (1 member).
 Please see job link for more information: https://grnh.se/f753b52b1us</t>
  </si>
  <si>
    <t>https://grnh.se/f753b52b1us</t>
  </si>
  <si>
    <t>Yudhistra27@gmail.com</t>
  </si>
  <si>
    <t>Aditya, Head of Sales @ Urbanhire.com</t>
  </si>
  <si>
    <t>Manissa, Sales Manager</t>
  </si>
  <si>
    <t>As of January 2020, Indonesian citizens had visa-free or visa on arrival access to 71 countries and territories.</t>
  </si>
  <si>
    <t>Muhammad Nur Azmi</t>
  </si>
  <si>
    <t>E-commerce Merchandiser Supervisor</t>
  </si>
  <si>
    <t>PT. Panen Lestari Indonesia</t>
  </si>
  <si>
    <t>https://www.linkedin.com/in/muhammad-nur-azmi-169722161/</t>
  </si>
  <si>
    <t>mnurazmi@rocketmail.com</t>
  </si>
  <si>
    <t>Monica Sutanto (Bussiness Development Staff @ Gtech)</t>
  </si>
  <si>
    <t>Chief Technology Officer</t>
  </si>
  <si>
    <t xml:space="preserve">Odyssean is hiring a Chief Technology Officer to lead the team in the buildout of our proprietary trading platform.  This role is the primary point of contact for the executive management team on all initiatives including but not limited to the following: Design, Implementation, Documentation, Testing, and Deployment.  The buildout of the Odyssean Trading Platform is an iterative process and entails frequent updates as new trading strategies come online.  This is a key role at Odyssean, as the Chief Technology Officer is in constant communication with both the General Partners and 3rd party technology vendors.  The ideal candidate is results-driven and willing to accept new challenges on the job. 
Compensation is a combination of co-founder level equity and profit sharing.
</t>
  </si>
  <si>
    <t xml:space="preserve">Required Qualifications
Strong Java (any edition) and SQL (any) coding experience
Vast knowledge of object-oriented programming
5-7 years of experience in software development with an investment firm
Ability to effectively communicate technical concepts to a non-technical audience.
Knowledge of highly parallel computing platform and designs in multithreading paradigms
Knowledge of columnar databases
Knowledge of data and web platform security
Preferred Qualifications
Strong engineering background, preferably in fields such as Computer Science, Mathematics, or Software Engineering.
Ability to analyze codes of popular languages other than Java including but not limited to: C#, Python, Javascript, VBA
Ability to analyze software design patterns and software system architectures
Experience with FTE development. Understanding of financial markets and high-frequency trading principles a plus.
Proven leadership skills in project management. 
Ability to navigate a large codebase to find logic and problems.  Must not be afraid to wear multiple hats.
Experience with major cloud services such as Amazon Web Services or Google Cloud Platform
Experience with implementing a thorough testing environment
Experience with management tools such as Pivotal Tracker and GIT
Java 8
Java Lambda
Database design
Websockets
FIX 4.0+
Linux
Maven
Eclipse
</t>
  </si>
  <si>
    <t xml:space="preserve">United test and Assembly Corporation </t>
  </si>
  <si>
    <t>Odyssean</t>
  </si>
  <si>
    <t>Global</t>
  </si>
  <si>
    <t>https://angel.co/l/2myj17</t>
  </si>
  <si>
    <t>Engineering, Product, Ops, Data and analytics, Exec team, HR, People, Talent</t>
  </si>
  <si>
    <t>Race Robotics, enquiries@raceacademy.com.sg</t>
  </si>
  <si>
    <t>Kumar is an evergreen learner and is not short of motivation to learn. He regularly helps the trainers out where he can and often facilitates the learning processes of others. He has a wealth of experience and regularly advices his peers and partakes in classroom discussions.</t>
  </si>
  <si>
    <t>Hilmi Aulia</t>
  </si>
  <si>
    <t>Quality Assurance Engineer</t>
  </si>
  <si>
    <t>linkedin.com/in/hilmiaulia</t>
  </si>
  <si>
    <t xml:space="preserve">To apply, please submit your resume along with a cover letter to careers@odyssean.fund. Cover letter should not exceed 500 words.
</t>
  </si>
  <si>
    <t>hilmiaulia96@gmail.com</t>
  </si>
  <si>
    <t>Manager. Fadly Mahendra @Ralalicom</t>
  </si>
  <si>
    <t>Manager, Procurement Excellence</t>
  </si>
  <si>
    <t>Fadly Mahendra</t>
  </si>
  <si>
    <t>Irwan Rosyadi</t>
  </si>
  <si>
    <t>Nadya Belinda</t>
  </si>
  <si>
    <t>https://www.linkedin.com/in/nadyabelinda/</t>
  </si>
  <si>
    <t>Collect data, analyze performance, identify issues and proposed solutions using quantitative methods
 Drive best practices across all functions and drive continuous improvement in Supply Chain across all sub-functions
 Manage supply chain process and performance improvement programs including cross-functional Supply Chain related projects
 Drive strategic initiatives and cross-functional planning-related projects and process optimization projects within PPT and with Group Supply Chain
 Supervise, provide recommendations, and make key decisions regarding Supply Chain Optimization, Planning, Procurement, Contract Manufacturing, Logistics &amp; Warehouse to ensure goals and targets achievement in those areas</t>
  </si>
  <si>
    <t>Bachelor's degree or above in Business Management, Computer Science or Supply Chain &amp; Logistics required, or the equivalent combination of education, training and experience that provides the required knowledge, skills, and abilities.
 5-7 years relevant experience from supply chain with good business knowledge required
 Experience in business analytics software / technology to supply chain or related, been project management shall advantage
 Strong stakeholder management and communication skills; interact effectively within the organization
 Drive the solution to most complex business problems
 Possess the strategic perspective and create sustained results for Pandora (financial, non-financial)
 Demonstrate ability to make hard decisions, making the right trade-offs
 Effectively plan and efficiently deliver exceptional work while handling both volume and complexity
 Is an inspirational leader; practices genuine humility and places the team above their own interests
 Is self-motivated and hungry enough to work hard; willing to change
 Has an ability to lead, manage, motivate, and run own team of talented individuals</t>
  </si>
  <si>
    <t>nadyabelinda25@gmail.com</t>
  </si>
  <si>
    <t>from linked in post</t>
  </si>
  <si>
    <t>Pandora Production Thailand</t>
  </si>
  <si>
    <t>Fanny Limassa - Senior Vice President of EATS Discovery Traveloka</t>
  </si>
  <si>
    <t>Manufacturing</t>
  </si>
  <si>
    <t>Anisa Kushandini</t>
  </si>
  <si>
    <t>https://www.linkedin.com/jobs/view/1816635906/</t>
  </si>
  <si>
    <t>Senior Illustrator</t>
  </si>
  <si>
    <t>https://www.linkedin.com/in/anisa-kushandini-711b1093/</t>
  </si>
  <si>
    <t>anisa.kushandini@gmail.com</t>
  </si>
  <si>
    <t>Harris Limanto, Head of Design @Airyrooms</t>
  </si>
  <si>
    <t>Anisa is one of our best illustrator that have ever met. She is diligent in her work, honest and eager to learn in many things (including product design). She's a talented artist. Previously worked at Ismaya Group.</t>
  </si>
  <si>
    <t>Anthony Kosasi</t>
  </si>
  <si>
    <t>Graphic and Brand Designer</t>
  </si>
  <si>
    <t>https://www.linkedin.com/in/anthony-kosasi-840869146/</t>
  </si>
  <si>
    <t>maurice.l@pandora.net</t>
  </si>
  <si>
    <t>anthony.kosasi25@gmail.com</t>
  </si>
  <si>
    <t xml:space="preserve">Anthony is hard working but more importantly is he is passionate about his work and his audiences. He is eager to learn new things (product and motion design) and grow professionally. He earn his masters degree (Master of Arts - Design Management and Cultures) from University of the Arts London. Previously worked at agency and branding consultant; Studio 1212 and EGGHEAD. </t>
  </si>
  <si>
    <t>Elizabeth Eljohn</t>
  </si>
  <si>
    <t>https://www.linkedin.com/in/thejohnlebeliza/</t>
  </si>
  <si>
    <t>elizabeth.eljohn@gmail.com</t>
  </si>
  <si>
    <t>Every idea shared, and every opportunity seized by Betti helped us achieve the heights. Her attention to detail at work makes Betti more unique. She developed our brand and the new one well and perfectly. She earned her master's degree at RMIT University - Melbourne (Communication Design). Previously she worked at Ogilvy, Sephora SEA and LeBoYe.</t>
  </si>
  <si>
    <t>Mohamad Mukresh</t>
  </si>
  <si>
    <t>Android Engineer</t>
  </si>
  <si>
    <t>Endeavor standard</t>
  </si>
  <si>
    <t>https://www.linkedin.com/in/mokresh/</t>
  </si>
  <si>
    <t>Manager, Supply Chain Excellence</t>
  </si>
  <si>
    <t>Bachelor's degree or above in Business Management, Computer Science or Supply Chain &amp; Logistics required, or the equivalent combination of education, training and experience that provides the required knowledge, skills, and abilities.
 5-7 years relevant experience from supply chain with good business knowledge required
 Experience in business analytics software / technology to supply chain or related, been project management shall advantage
 Strong stakeholder management and communication skills; interact effectively within the organization
 Has an ability to lead, manage, motivate, and run own team of talented individuals
 Drive the solution to most complex business problems
 Possess the strategic perspective and create sustained results for Pandora (financial, non-financial)
 Demonstrate ability to make hard decisions, making the right trade-offs
 Effectively plan and efficiently deliver exceptional work while handling both volume and complexity
 Is an inspirational leader; practices genuine humility and places the team above their own interests
 Is self-motivated and hungry enough to work hard; willing to change</t>
  </si>
  <si>
    <t>https://th.jobsdb.com/th/th/job/manager-e2e-supply-chain-excellence-30000300217951</t>
  </si>
  <si>
    <t>mokresh.mohammed@gmail.com</t>
  </si>
  <si>
    <t>Nabilah @ Fave</t>
  </si>
  <si>
    <t>SUM of Count</t>
  </si>
  <si>
    <t>Mario Natalao</t>
  </si>
  <si>
    <t>Sr. Graphic Designer</t>
  </si>
  <si>
    <t>https://www.linkedin.com/in/marionatalao/</t>
  </si>
  <si>
    <t>marionatalao@gmail.com</t>
  </si>
  <si>
    <t>shared in coworkers group</t>
  </si>
  <si>
    <t>Carolina Fenny, Art Director</t>
  </si>
  <si>
    <t>abdalrahman aboujeeb</t>
  </si>
  <si>
    <t>Back-End developer</t>
  </si>
  <si>
    <t>DCONFIG</t>
  </si>
  <si>
    <t>https://www.linkedin.com/in/rahman-aboujeeb/</t>
  </si>
  <si>
    <t>rahman.aboujeeb@gmail.com</t>
  </si>
  <si>
    <t>HR @ Fave</t>
  </si>
  <si>
    <t>Sponsore ship for working visa</t>
  </si>
  <si>
    <t>Joseph Loh</t>
  </si>
  <si>
    <t>4xlabs</t>
  </si>
  <si>
    <t>https://www.linkedin.com/in/joseph-loh-861ab8a7/</t>
  </si>
  <si>
    <t>uzrial@gmail.com</t>
  </si>
  <si>
    <t>Senior Data Analyst</t>
  </si>
  <si>
    <t>Junnie Chen ex SAVP Tech Dept</t>
  </si>
  <si>
    <t>Joseph is hardworking, adaptable and always a pleasure to work with as he delivers results</t>
  </si>
  <si>
    <t>For Singapore EP</t>
  </si>
  <si>
    <t>Andafin helps emerging-market financial institutions use the power of data to grow and reach the next billion customers. We are looking for a Vietnam-based Senior Data Analyst to help us provide insights tobanks worldwide, using our cloud data analytics platform.
  Responsibilities: 
 • Manipulate and analyze financial services data using R statistical programming language
 • Support the team in developing additional features for Andafin’s analytics platform, including enhanced reporting and visualizations
 • Work independently and collaborate with peers – we encourage you to take initiative
 • May interface with Andafin clients, under direction of project team leader</t>
  </si>
  <si>
    <t>Requirements:
 • Data analysis experience using R programming and relational databases
 • Experience with cloud computing platforms a plus
 • Bachelor’s degree or higher; fluent in English
 • Financial services domain knowledge preferred (but not required)
 • 3-7 years work experience
 Location: Ho Chi Minh City, Vietnam (home-based, plus regular team meetings during business hours); domestic and international travel may be required 
 Contract: Flexible retainer (Variable 10-20+ days per month; flexible hours)</t>
  </si>
  <si>
    <t>Andafin</t>
  </si>
  <si>
    <t>Consulting and data analytics</t>
  </si>
  <si>
    <t>https://www.andafin.com/careers/</t>
  </si>
  <si>
    <t>Biondi Tantra</t>
  </si>
  <si>
    <t>Account Manager - Moka Pay</t>
  </si>
  <si>
    <t>Moka</t>
  </si>
  <si>
    <t>https://www.andafin.com/contact/</t>
  </si>
  <si>
    <t>https://www.linkedin.com/in/biondi-tantra/</t>
  </si>
  <si>
    <t>biondi.tantra@gmail.com</t>
  </si>
  <si>
    <t>Hadrian Pranjoto, Finance/Business Intelligence @ OVO</t>
  </si>
  <si>
    <t>Mahadir Bin Ali</t>
  </si>
  <si>
    <t>Mechanical Design Engineer</t>
  </si>
  <si>
    <t>Chiyoda Singapore</t>
  </si>
  <si>
    <t>Mahadir ali</t>
  </si>
  <si>
    <t>mahadir64@gmail.com</t>
  </si>
  <si>
    <t>Sahmsi from PBA</t>
  </si>
  <si>
    <t>Alexander Richard</t>
  </si>
  <si>
    <t>Andafin helps emerging-market financial institutions use the power of data to grow and reach the next billion customers. We are looking for a Vietnam-based Data Engineer to help us continually upgrade our cloud-based data analytics platform, which we use to provide insights to banks worldwide.
 Responsibilities:
 • Build and maintain data structure and optimal data pipeline to get client data onto Andafin platform
 • Contribute ideas and support in developing ETL, storage, and analysis modules of Andafin’s analytics platform
 • Automate workflows using cloud computing tools to increase data processing and analysis capacity
 • Build data quality control modules to ensure the quality of automated processes and reports
 • Maintain the platform and continuously monitor data flows from different sources 
 • Work independently and collaborate with peers – we encourage you to take initiative</t>
  </si>
  <si>
    <t>Requirements:
 • Advanced knowledge of data structures and query languages (ex. SQL/noSQL)
 • Experience in at least one statistical programming language (R, Python, etc.)
 • Experience in building and optimizing data pipelines, architectures and data sets
 • Knowledge of Linux OS and cloud computing (AWS or Google Cloud); Bash script is a plus
 • Bachelor’s degree or higher; Fluent in English
 • Financial services domain knowledge preferred (but not required)
 • 4-8 years work experience
 Location: Ho Chi Minh City, Vietnam (home-based, plus regular team meetings during business hours)
 Contract: Flexible retainer (Variable 10-20+ days per month; flexible hours)</t>
  </si>
  <si>
    <t>https://www.linkedin.com/in/alexanderrichardlie/</t>
  </si>
  <si>
    <t>alexander.richard.lie@gmail.com</t>
  </si>
  <si>
    <t>Indonesian, will need visa sponsorship for location outside ID</t>
  </si>
  <si>
    <t>GheaLafa Dewangga</t>
  </si>
  <si>
    <t>KoinWorks - PT. Lunaria Annua Teknologi</t>
  </si>
  <si>
    <t>https://www.linkedin.com/in/gheaalfa/</t>
  </si>
  <si>
    <t>ghea.dewangga@gmail.com</t>
  </si>
  <si>
    <t>Fahromi Avitriadi, Lead UX Designer @ KoinWorks</t>
  </si>
  <si>
    <t>Qhintara Askar</t>
  </si>
  <si>
    <t>Full Stack Lead Engineer (Java/React.js/PostgreSQL) / FINTECH</t>
  </si>
  <si>
    <t>koinworks</t>
  </si>
  <si>
    <t>https://www.linkedin.com/in/taro-askar-02915413a</t>
  </si>
  <si>
    <t xml:space="preserve">Scope of the role
•Development of new platform features, incorporation of client feedbacks for product enhancements.
•Supervision of the infrastructure maintenance and security, application maintenance and day-to-day performance. 
•Ownership of technical product roadmap together with the CEO, advisory on technology and architecture choices.  
•Hire, lead, and develop a team of developers.
Experience needed
You should be keen on working within a start-up style environment understanding the unique responsibility, creativity and flexibility that is required and the challenge and opportunities that come with it.
</t>
  </si>
  <si>
    <t>Core requirements for candidates are:
• 7 - 10 years of experience working in complex software development, ideally with hands-on experience in Financial Services and/or Capital Markets. 
• Engineering and development of marketplaces, collaborative and/or B-to-B online solutions. 
• Comprehensive knowledge of front-end / back-end development stack (Java, React.js, Spring Boot, PostreSQL).
• Experience in working with third-party vendors and solutions (AWS, data vendors, Github) in a partnership / ecosystem model. 
• Experience in developing products following Agile / Scrum principles (scrum, stand-up, velocity).
Nice to have
• Ability to navigate between long-term strategic vision and day-to-day operational issues.
• Experience in developing enterprise-grade, web-based solutions for financial institutions or other sophisticated industries.
• Appetite and basic knowledge of the application of new technologies (machine learning, blockchain, AI, cybersecurity) to corporate / financial services.</t>
  </si>
  <si>
    <t>Dragon Allies</t>
  </si>
  <si>
    <t>fintech</t>
  </si>
  <si>
    <t>edouard@dragonallies.com</t>
  </si>
  <si>
    <t>taroaskar@gmail.com</t>
  </si>
  <si>
    <t>Sri Utami, Lead Creative Marketing koinworks</t>
  </si>
  <si>
    <t>Tunde Vizsnyai</t>
  </si>
  <si>
    <t>Operations Executive &amp; Project Manager</t>
  </si>
  <si>
    <t>Dathappy</t>
  </si>
  <si>
    <t>https://www.linkedin.com/in/tunde-vizsnyai/</t>
  </si>
  <si>
    <t>Operations Manager / FINTECH</t>
  </si>
  <si>
    <t xml:space="preserve">Scope of the role
•        Perform and lead all client support functions of the platform. 
•        Manage and perform client onboarding and account opening processes.
•        Perform daily platform administration, monitoring, maintaining and reporting.
•        Provide support to sales teams for operational matters.
•        Provide first-line operational, technical and trouble-shooting support to clients.
•        Co-operate with IT development team for problem remediation and product development.
•        Perform client invoicing processes.
•        Help design and implement adequate operational policies and control procedures. 
•        Build, grow and manage an operations team.
</t>
  </si>
  <si>
    <t xml:space="preserve">You should be keen on working within a start-up style environment, understanding the unique responsibility, creativity and flexibility that is required, and the challenges and opportunities that come with it.
Core requirements for candidates are:
•	5 to 10 years of experience in an operational role with institutional client supporting responsibilities.
•	Ideally experience in financial markets industry or products of a technical nature.
•	Detail oriented with a good appreciation for risk and control procedures and environments.
•	Ability to work independently as well as collaboratively with strong self-starter characteristics. 
•	Well-organized and multitasker.
•	Strong communication and written skills.
Other valued characteristics:
•	Good awareness of and an interest in IT with technical proficiencies, basic programming experience all being a strong plus. 
•	Knowledge of capital markets financial products would be valued. 
•	Mandarin speaker would also be a plus.
•	Degree educated.
</t>
  </si>
  <si>
    <t>vizsnyait@gmail.com</t>
  </si>
  <si>
    <t>Joan Ang, Paid Media Manager @ Toptal</t>
  </si>
  <si>
    <t>no sponsorship needed, I'm on LTVP</t>
  </si>
  <si>
    <t>Ayu Anisa Hanggraini</t>
  </si>
  <si>
    <t>Marketing Support</t>
  </si>
  <si>
    <t>www.linkedin.com/in/ayu-anisa-hanggraini-1b1328173</t>
  </si>
  <si>
    <t>Software Engineers (Backend/iOS/Android)</t>
  </si>
  <si>
    <t>1. Develop B2B/B2C tech products for RedMart operations in Singapore and delivery operations in the region 
 2. Develop new features and solve challenging business problems 
 3. Work with product managers and quality engineers and experienced team members on an Agile format 
 4. Tech stack: java on backend, react JS, Java, Obj-C on frontend</t>
  </si>
  <si>
    <t>1. 5 years min relevant experience
 2. Knowledge of relevant tech stack 
 Plus: comes from an internet/logistics/ecommerce background</t>
  </si>
  <si>
    <t>Lazada</t>
  </si>
  <si>
    <t>https://www.lazada.com/en/careers/job-description/GP533002/
 https://www.lazada.com/en/careers/job-description/GP606614/
 https://www.lazada.com/en/careers/job-description/GP543915/</t>
  </si>
  <si>
    <t>ayuannisa6@gmail.com</t>
  </si>
  <si>
    <t>huiyi.wang@lazada.com</t>
  </si>
  <si>
    <t>Felicia Thenardy, Sr Product Marketing Manager @ Traveloka</t>
  </si>
  <si>
    <t>Vee Howe Chong</t>
  </si>
  <si>
    <t>UDrive Media Sdn Bhd</t>
  </si>
  <si>
    <t>https://www.linkedin.com/in/veehowechong/</t>
  </si>
  <si>
    <t>veehowe.chong@gmail.com</t>
  </si>
  <si>
    <t>Marketing, Ops, Exec team</t>
  </si>
  <si>
    <t>A friend, Krystal Koh</t>
  </si>
  <si>
    <t>Jean Pharamond, Content Compliance Senior Manager, Astro</t>
  </si>
  <si>
    <t>Vee is a very dedicated and detailed orientated person. He is also able to pick up things fast and is self motivated.</t>
  </si>
  <si>
    <t>Khalila Hunafa Ansor Arifai</t>
  </si>
  <si>
    <t>https://www.linkedin.com/in/khalilahunafa/</t>
  </si>
  <si>
    <t>CT Corp Digital</t>
  </si>
  <si>
    <t>khalilahunafa@gmail.com</t>
  </si>
  <si>
    <t>Anton Djojo, Head of Product</t>
  </si>
  <si>
    <t>Sr. Data Engineer, Data Product team</t>
  </si>
  <si>
    <t>Melissa Eka Dewi</t>
  </si>
  <si>
    <t>1. Build both batch and streaming data pipeline for optimal extraction, transformation, and loading of data from a wide variety of data sources using big data technologies
 2. Deliver data projects to support customer acquisition, operational efficiency, campaign and other key business performance metrics
 3. Monitor &amp; manage data pipelines, ensuring accuracy and stability
 4. Diagnose, analyse and provide solutions to issues in scripts, reports, tools, data, etc.
 • Identify, design and implement improvements, e.g. automating manual processes, optimizing data delivery, re-designing architecture for greater scalability, etc.</t>
  </si>
  <si>
    <t>Urbanhire (PT Urban Teknologi Digital)</t>
  </si>
  <si>
    <t>Melissa Widjaja</t>
  </si>
  <si>
    <t>melissawidjaja46@gmail.com</t>
  </si>
  <si>
    <t>1. Bachelor degree in Computer Science, Electrical Engineering or similar
 2. 5+ years of relevant working experience
 3. Familiar with Hadoop big data platform architecture: HDFS/HBase/Hive/MapReduce, proficient in Hive SQL, understand real-time computing, and have previous experience in using open source real-time streaming engines such as Flink and Spark Streaming
 4. Familiar with dimensional data modelling, and data warehouse concepts and methodologies as well as distributed processing systems</t>
  </si>
  <si>
    <t>https://www.lazada.com/en/careers/job-description/GP626124/</t>
  </si>
  <si>
    <t xml:space="preserve">Oki from Montage </t>
  </si>
  <si>
    <t>Muhammad Afiq Naufal, Anggie Aditya</t>
  </si>
  <si>
    <t>I am helpful, cheerful, responsible, good at teamwork</t>
  </si>
  <si>
    <t>Gatot Hadi Pratomo</t>
  </si>
  <si>
    <t>Senior Key Account Manager</t>
  </si>
  <si>
    <t>aCommerce Indonesia</t>
  </si>
  <si>
    <t>https://www.linkedin.com/in/gatothadi</t>
  </si>
  <si>
    <t>gatothadi.pratomo@gmail.com</t>
  </si>
  <si>
    <t>Nicolo Danar @ https://beta.bymankind.com/we</t>
  </si>
  <si>
    <t>Indra Hardani - GM Contract Logistic Schenker</t>
  </si>
  <si>
    <t>De Fang, Tong</t>
  </si>
  <si>
    <t>Graduate</t>
  </si>
  <si>
    <t>Gojek</t>
  </si>
  <si>
    <t>https://www.linkedin.com/in/defang/</t>
  </si>
  <si>
    <t>tongdefang@gmail.com</t>
  </si>
  <si>
    <t>Marketing, Sales, BD and Partnerships, Product, Accounting, Finance, Ops, Data and analytics, Exec team</t>
  </si>
  <si>
    <t>Wendy @ SG Tech</t>
  </si>
  <si>
    <t>Fiona, Gojek HR</t>
  </si>
  <si>
    <t>Arunima, Gojek, Head of International Research</t>
  </si>
  <si>
    <t>Faiz Wirananda</t>
  </si>
  <si>
    <t>Community Development</t>
  </si>
  <si>
    <t>Ralali</t>
  </si>
  <si>
    <t>https://www.linkedin.com/in/faiz-wirananda-736368142/</t>
  </si>
  <si>
    <t>faizwirananda@gmail.com</t>
  </si>
  <si>
    <t>Ardisha Pramudita, Community Relation @CoHive</t>
  </si>
  <si>
    <t>Manager/Senior Manager - Social Engagement (Marketing)</t>
  </si>
  <si>
    <t>Nurul Mustika</t>
  </si>
  <si>
    <t>QA Engineer</t>
  </si>
  <si>
    <t>Mekar (PT. Mekar Investama Sampoerna)</t>
  </si>
  <si>
    <t>1. Monitor existing social media tools and report any issues and opportunities for improvement while ensuring all KPIs and budget are on track
 2. Manage and implement all organic social engagement campaigns across social media channels (Facebook, Instagram, Twitter, YouTube)
 3. Provide analysis and area to improve performance, business trend and suggestions the plan.
 4. Ensure appropriate data/tools/dashboards to measure execution and enable deeper analysis.
 5. Cooperate to define, execute strategy &amp; planning roadmap, report and projects
 6. Identify social content opportunities that drive customer, seller value, brandings and communication
 7. Track execution and report up in regular updates, help build business cases around the opportunity.</t>
  </si>
  <si>
    <t>https://www.linkedin.com/in/nurul-rita-m-105557b1/</t>
  </si>
  <si>
    <t>• Minimum 5 years of experience in business analyst, social media or online marketing management
 • BBA/BE/MBA degrees in Engineering, management or related fields
 • Proficiency in Excel (pivot tables, pivot graphs, formulas, etc.) is a must</t>
  </si>
  <si>
    <t>nrita107@gmail.com</t>
  </si>
  <si>
    <t>Anastasya Hutasoit, Scrum Master @ Mekar</t>
  </si>
  <si>
    <t>https://www.lazada.com/en/careers/job-description/GP599432/</t>
  </si>
  <si>
    <t>Fatwiarni</t>
  </si>
  <si>
    <t>Head Customer Support</t>
  </si>
  <si>
    <t>PT OYO INDONESIA</t>
  </si>
  <si>
    <t>https://www.linkedin.com/in/fatwiarni-58b49824/</t>
  </si>
  <si>
    <t>fatwiarni.s@gmail.com</t>
  </si>
  <si>
    <t>Head of customer support OYO Indonesia</t>
  </si>
  <si>
    <t>Benedita Tanabi</t>
  </si>
  <si>
    <t>https://www.linkedin.com/in/beneditatan/</t>
  </si>
  <si>
    <t>benedita.tanabi@gmail.com</t>
  </si>
  <si>
    <t>Peter Ciang, Fullstack Engineer @ Grab</t>
  </si>
  <si>
    <t>shireen.ng@lazada.com</t>
  </si>
  <si>
    <t>I need EP</t>
  </si>
  <si>
    <t>Priyank Agarwal</t>
  </si>
  <si>
    <t>Deputy Region Head</t>
  </si>
  <si>
    <t>https://www.linkedin.com/in/agarwalpriyank/</t>
  </si>
  <si>
    <t>mailpriyank4@gmail.com</t>
  </si>
  <si>
    <t>Eko B Bramantyo - Country Head @ OYO Indonesia / Benny Rachmadin - HR Head @ OYO Indonesia</t>
  </si>
  <si>
    <t xml:space="preserve">Eko B Bramantyo - Country Head </t>
  </si>
  <si>
    <t>Gabriel Sarrazin</t>
  </si>
  <si>
    <t>Lead Data Scientist</t>
  </si>
  <si>
    <t>BCI Asia</t>
  </si>
  <si>
    <t>https://www.linkedin.com/in/gabriel-sarrazin-ba1236a5/</t>
  </si>
  <si>
    <t>Senior UI Designer - enterprise tech</t>
  </si>
  <si>
    <t>gabisarrazin@gmail.com</t>
  </si>
  <si>
    <t>1. Chance to work on projects with close collaboration with our business users from different domains (Finance, HR, Technology, etc.) and on various applications (Finance automation system, Invoicing platform, HR platform, Intranet, etc.)</t>
  </si>
  <si>
    <t>Maxime Lemiere, @SmartBuildAsia</t>
  </si>
  <si>
    <t>Maxime Lemiere (Chief data analytics), Nicolas Marchand( Chief data analytics)</t>
  </si>
  <si>
    <t>• 5+ years working experience in related area. Experience in both interaction and visual design is preferred.
 • Background in human-computer interaction, industrial design, visual communication, or education-related design disciplines will be desirable.
 • Good communication and collaboration skills to present well and explain design solutions to cross-functional teams.</t>
  </si>
  <si>
    <t>I need a visa.</t>
  </si>
  <si>
    <t>Cedric Chee</t>
  </si>
  <si>
    <t>EIR@Antler and Product Engineer</t>
  </si>
  <si>
    <t>https://www.lazada.com/en/careers/job-description/GP617616/</t>
  </si>
  <si>
    <t>https://linkedin.com/in/cedricchee</t>
  </si>
  <si>
    <t>cedric+ap@invictusbyte.com</t>
  </si>
  <si>
    <t>Marketing, Engineering, Product</t>
  </si>
  <si>
    <t>Tanisha Mundra</t>
  </si>
  <si>
    <t>Talent Acquisition Specialist</t>
  </si>
  <si>
    <t>Jones Lang LaSalle</t>
  </si>
  <si>
    <t>https://www.linkedin.com/in/tanishamundra/</t>
  </si>
  <si>
    <t>Wendy.zhong@lazada.com</t>
  </si>
  <si>
    <t>moondratanisha03@gmail.com</t>
  </si>
  <si>
    <t>BD and Partnerships, HR, People, Talent</t>
  </si>
  <si>
    <t>Shivangi Bagri @ TruCup</t>
  </si>
  <si>
    <t>Muhammad Farhan</t>
  </si>
  <si>
    <t>PT Ekrut Teknologi Utama</t>
  </si>
  <si>
    <t>https://www.linkedin.com/in/muhammad-farhan-180998164</t>
  </si>
  <si>
    <t>Airbnb</t>
  </si>
  <si>
    <t>mfarhan.albadri@gmail.com</t>
  </si>
  <si>
    <t>Dwi Graha Pangestu - Client Executive @Ekrut</t>
  </si>
  <si>
    <t>Ruli Irawan - Client Executive Supervisor @Ekrut</t>
  </si>
  <si>
    <t>Michelle (Castillo) Wonderland</t>
  </si>
  <si>
    <t>Consultant, Global Marketing and Strategy</t>
  </si>
  <si>
    <t>RELX Technology</t>
  </si>
  <si>
    <t>https://www.linkedin.com/in/michellecm/</t>
  </si>
  <si>
    <t>Manager, Regional Business Intelligence</t>
  </si>
  <si>
    <t>1. Be the expert in using data to measure and analyse business performance in each our markets and lines of business.
 2. Explore business issues/opportunities, uncover insights and/or identify targeted areas for business growth.
 3. Partner with management and operational teams to deep dive on core issues and use our data to find answers.</t>
  </si>
  <si>
    <t>• Bachelor’s/Master Degree, preferably in Analytics, statistics, mathematics or business/marketing management
 • At least 5 years + working experience in business performance analysis reporting, data analysis, with independent thoughts and insight.
 • Experienced SQL skill, as well as basic analytical tool such as SAS, SPSS etc.</t>
  </si>
  <si>
    <t>https://www.lazada.com/en/careers/job-description/GP070722/</t>
  </si>
  <si>
    <t>mja.castillo@gmail.com</t>
  </si>
  <si>
    <t>Saw it in Straits Times!</t>
  </si>
  <si>
    <t>Singapore PR (US citizen)</t>
  </si>
  <si>
    <t>Rizal Bahriawan</t>
  </si>
  <si>
    <t>Procurement Officer &amp; Product Analyst</t>
  </si>
  <si>
    <t>Direktorat Logistik Pusat Administrasi Universitas Indonesia</t>
  </si>
  <si>
    <t>https://www.linkedin.com/in/rizal-bahriawan-089a6291/</t>
  </si>
  <si>
    <t>rizalbahriawan@gmail.com</t>
  </si>
  <si>
    <t>Mrs Farida, Sub-Division Head of Planning @ Direktorat Logistik Pusat Adminstrasi Universitas Indonesia</t>
  </si>
  <si>
    <t>Data Scientist (Seller and Operations)</t>
  </si>
  <si>
    <t>Budi Hartadi (Supervisor @PT Pusilkom UI), Samuel Theodore (currently WHV @ Australia)</t>
  </si>
  <si>
    <t>Samuel: Rizal is one of my close friend. He is a helpful person and patient and could blend with various type of people. He is also a curious people and always eager to learn new things and tech when we worked together</t>
  </si>
  <si>
    <t>Sue Mei Lee</t>
  </si>
  <si>
    <t>Analyst</t>
  </si>
  <si>
    <t>https://www.linkedin.com/in/lee-sue-mei/</t>
  </si>
  <si>
    <t>1. Responsible for developing the algorithms for seller &amp; operation business, including content understanding and generation, performance prediction, pricing, product matching and recommendation, to boost seller and business growth.
 2. Following the state-of-the-art research work and the integrated applications on deep learning, recommendation, optimization, reinforcement learning and so on.
 3. Continuous improving algorithms to adapt to evolving business requirements, and ensuring high efficiency, scalability as well as good coding styles.</t>
  </si>
  <si>
    <t>1. At least two years relevant working experience
 2. Masters or PhD degree in computer science, operations research, statistics, mathematics, or equivalent fields
 3. Solid theoretical foundations and industry experiences in machine learning, natural language processing, computer vision, personalized search &amp; recommendation, user/seller behavior modeling, sales forecasting, knowledge graph and representation, marketing algorithm, large scale data analysis/platforms
 4. Experience in machine learning libraries such as Tensorflow, Keras, Theano, etc.
 5. Solid programming skills in SQL, Java, Python and Scala</t>
  </si>
  <si>
    <t>leesuemei@gmail.com</t>
  </si>
  <si>
    <t>https://www.lazada.com/en/careers/job-description/GP607724/</t>
  </si>
  <si>
    <t>Sales, Product, Ops</t>
  </si>
  <si>
    <t>Hayden Ong, Tech Ops, Sojern Inc</t>
  </si>
  <si>
    <t>Lina Goh, Analyst Team Lead, Sojern Inc</t>
  </si>
  <si>
    <t>Lee Sue Mei joined Sojern Inc as an Analyst in the Business Strategy and Operations department back in Nov 2016. As the first analyst in the APAC region, Sue Mei has laid the groundwork for the team, creating a strong foundation for growth in the region. In her role, she eventually extends her support to the Middle East region and she has proven herself to be an invaluable asset to the team. Sue Mei is one of the most proactively helpful colleagues I’ve had the privilege to work with, and I know she will continue to find success in her future roles.</t>
  </si>
  <si>
    <t>Darren James Riley</t>
  </si>
  <si>
    <t>head Of Sales</t>
  </si>
  <si>
    <t>TravelStop</t>
  </si>
  <si>
    <t>https://www.linkedin.com/in/darren-james-riley/</t>
  </si>
  <si>
    <t>darrenriley0812@gmail.com</t>
  </si>
  <si>
    <t>Marketing, Sales, BD and Partnerships, Data and analytics, Exec team</t>
  </si>
  <si>
    <t xml:space="preserve">Glen Sunkel </t>
  </si>
  <si>
    <t>zoey.lai@lazada.com</t>
  </si>
  <si>
    <t>Leigh Riley VP  Of Operations SensorFlow</t>
  </si>
  <si>
    <t>Darren Is a Phenomenal sales person he helped build SensorFlow into one of EF'S most successful start ups.</t>
  </si>
  <si>
    <t>Marta Sypniewska</t>
  </si>
  <si>
    <t>Administration and HR Manager</t>
  </si>
  <si>
    <t>Fashion Investment Group</t>
  </si>
  <si>
    <t>https://www.linkedin.com/in/marta-sypniewska-04150729/</t>
  </si>
  <si>
    <t>martha.sypniewska@gmail.com</t>
  </si>
  <si>
    <t>Poland or remote</t>
  </si>
  <si>
    <t>Anthony Abdel Sater, Management Consultant @ Strategy&amp;</t>
  </si>
  <si>
    <t>Visa required (Polish citizenship)</t>
  </si>
  <si>
    <t>Sr. HR Manager</t>
  </si>
  <si>
    <t>Muhammad Yasin</t>
  </si>
  <si>
    <t>GREDU</t>
  </si>
  <si>
    <t>https://id.linkedin.com/in/muyas021</t>
  </si>
  <si>
    <t>• Coordinate all stages of the hiring process with Recruitment Executive, including posting job openings, reviewing &amp; screening applications, conducting interviews &amp; on boarding new employees. 
 • Address employee conflicts and administer employee discipline or corrective action when needed.
 • Making or amending the existing company policies and procedures. 
 • Handling the employee engagement by taking the surveys in order to understand their engagement level and accordingly take actions. 
 • Planning events or activities regularly or on some occasions.
 • Helping the employee do performance appraisal in a better way by adopting better appraisal practice. 
 • Managing payroll using HRIS. 
 • Helping the employee to be relieved properly (exit clearance for resign employee).
 • Preparing the Due Diligence checklist for fundraising for HR’s part.</t>
  </si>
  <si>
    <t>• Bachelor degree in human resources management or equivalent.
 • Min. 3 years experiences as HR Manager or managing HR team.
 • Experience in human resources or related field.
 • Ability to build and maintain positive relationships with colleagues.
 • Experience in educating and coaching staff.
 • Experience in conflict resolution, disciplinary processes and workplace investigations.
 • Experience in following and maintaining workplace privacy.</t>
  </si>
  <si>
    <t>Ayopop</t>
  </si>
  <si>
    <t>https://www.linkedin.com/company/ayopop/</t>
  </si>
  <si>
    <t>muyas021@gmail.com</t>
  </si>
  <si>
    <t>Nikki Antonio - Psychology Researcher</t>
  </si>
  <si>
    <t>Willy Ahmad Syafiq, Zainal Muttaqin, and Nikki Antonio</t>
  </si>
  <si>
    <t>Yasin strives to learn more and more. He has done a remarkable move from the civil engineer turned into UX/UI Designer. He easily adapts, understands the needs of people and businesses in order to make the product more usable, enjoyable, and accessible. He is also responsible for designing for web and apps.</t>
  </si>
  <si>
    <t>Didn't have working visa</t>
  </si>
  <si>
    <t>Putri Ratnasari</t>
  </si>
  <si>
    <t>Talent Acquisition &amp; People Operations</t>
  </si>
  <si>
    <t>PT STOQO Teknologi Indonesia</t>
  </si>
  <si>
    <t>https://www.linkedin.com/in/putri-ratnasari-a49aa5121/</t>
  </si>
  <si>
    <t>putri.ratnasari17@gmail.com</t>
  </si>
  <si>
    <t>Natasha Benita, Strategy, Marketing &amp; Partnership @ Shoemaker Studios</t>
  </si>
  <si>
    <t>E.Gatik Wulaningrum, HR Operations Lead</t>
  </si>
  <si>
    <t>countmein@ayopop.com</t>
  </si>
  <si>
    <t>Ismi Sapuroh</t>
  </si>
  <si>
    <t>Senior Staff Accounting</t>
  </si>
  <si>
    <t>PT HIBA UTAMA</t>
  </si>
  <si>
    <t>https://www.linkedin.com/in/ismi-sapuroh-3783341a7</t>
  </si>
  <si>
    <t>isminundor@gmail.com</t>
  </si>
  <si>
    <t>Cendy Bill Clinton</t>
  </si>
  <si>
    <t>Sales Account Manager</t>
  </si>
  <si>
    <t>PT. ULTIMA ASIA TEKNOLOGI (Formerly known as Micros - Fidelio Indonesia)</t>
  </si>
  <si>
    <t>https://www.linkedin.com/in/cendy-bill-clinton</t>
  </si>
  <si>
    <t xml:space="preserve">• Create social media marketing plan and strategy
• Manage the company's budget on social media campaign &amp; events
• Create the necessary content plan for all Lemonilo's social media platforms (Facebook, Instagram, Twitter, and TikTok)
• Develop and strengthen Lemonilo community and its collaborations with relevant communities
• Identify content creators and social influencers in our space—and work on establishing partnerships rather than merely transactional relationships with them
• Create monthly analytic reports on audience growth, best performing tactics and key conversational threads with the aim to improve strategy or engineer cultural moments
• Aligning social media plan and strategy with other divisions, such as Campaign &amp; Partnership, Creative, Online Sales, and PR &amp; Government Relations
• Analyzing trends and its potentials for upcoming social media plan strategy
</t>
  </si>
  <si>
    <t>• Graduated from reputable university
• Min. 4 years experience on related field
• Max. 33 years old
• Able to demonstrate a proven track record in project management and leadership
• Able to demonstrate a proven track record on growing a company's social media presence 
• Creative, social &amp; fun with a sense of humor 
• Deeply knowledgeable about social media and events’ planning
• Passionate about healthy and active lifestyle
• Up to date with the recent trends of digital marketing
• Plus point if you are an influencer yourself</t>
  </si>
  <si>
    <t>Lemonilo</t>
  </si>
  <si>
    <t>cendybc@gmail.com</t>
  </si>
  <si>
    <t>Food Retail</t>
  </si>
  <si>
    <t>Khiko - BDM @ Tix Id</t>
  </si>
  <si>
    <t>Deasy Emalia - Director of HR , Sutanto - Director or Sales &amp; Marketing</t>
  </si>
  <si>
    <t>Bill has been experiencing 6 years work in Hospitality industry amd 2 years more in IT Software company. Graduated from a a reputable Economical Management school in Jakarta</t>
  </si>
  <si>
    <t>Sandy Herho</t>
  </si>
  <si>
    <t xml:space="preserve">Weather and Climate Prediction Laboratory ITB </t>
  </si>
  <si>
    <t>https://www.linkedin.com/mwlite/in/sandy-herho-223bb449</t>
  </si>
  <si>
    <t>tinyurl.com/qoan9c6</t>
  </si>
  <si>
    <t>sandyherho@protonmail.ch</t>
  </si>
  <si>
    <t xml:space="preserve">Dr. Nurjanna Joko Trilaksono, Lab Director, Weather and Climate Prediction Laboratory ITB </t>
  </si>
  <si>
    <t>Rio Harapan Pangihutan - Data Scientist (Stream Intelligence)</t>
  </si>
  <si>
    <t>Sandy is a Fast Learner. He is one of the researchers and/or independent researcher in paleoclimatology field. His determination and effort to reach the goal is exceptional. He writes some books and journal and keeps share to the public after learning a something field. He has experienced in Numerical Analysis speciality in Climate and Meteorology Area and has done a great project in Python.</t>
  </si>
  <si>
    <t>Sophia Moshasha</t>
  </si>
  <si>
    <t>Head of Partnerships</t>
  </si>
  <si>
    <t>Brightline Interactive</t>
  </si>
  <si>
    <t>https://www.linkedin.com/in/sophiamoshasha</t>
  </si>
  <si>
    <t>emeralda.aryuni@lemonilo.com</t>
  </si>
  <si>
    <t>Sophia.moshasha@gmail.com</t>
  </si>
  <si>
    <t>Saw post by someone in LinkedIn network</t>
  </si>
  <si>
    <t xml:space="preserve">Kent Gilbert, Biz Dev for military &amp; law enforcement </t>
  </si>
  <si>
    <t>Not sure</t>
  </si>
  <si>
    <t>Theodore Tom</t>
  </si>
  <si>
    <t>Galvanize</t>
  </si>
  <si>
    <t>https://www.linkedin.com/in/theodore-tom/</t>
  </si>
  <si>
    <t>• Working closely with CPO and Product Managers to define product concept derived from business needs and user needs.
• Conducting in person user research, such as in-depth interviews, design workshops, user tests, and translate them into design insights.
• Facilitating design process by rapid prototyping or design brainstorm with the cross-functional team.
• Collaborating with customer facing team and marketing team to get insights on our customers.
• Staying updated with interaction design and new online technology trends.
• In Lemonilo, you will be one of the most senior designers and will be taking ownership of bigger/more complex projects. You will be expected to provide mentorship to more junior designers too.</t>
  </si>
  <si>
    <t>• 1 to 2 year of UX/IXD experience,
• Passion to get into people’s head and find out useful insights,
• Outstanding analytical, quantitative and qualitative problem-solving skills,
• Familiarity with user journey mapping or experience mapping (identifying touch points),
• Strong interpersonal skills, strong communication skills, and ability to work well in a team environment,
• Have a desire and willingness to continue learning,
• Able to work independently with minimal guidance, and have a strong attention to detail, and
• Please provide your portfolio as well.</t>
  </si>
  <si>
    <t>tinyurl.com/rpzo7j6</t>
  </si>
  <si>
    <t>Theodore.Tom@gmail.com</t>
  </si>
  <si>
    <t>Sales, Data and analytics</t>
  </si>
  <si>
    <t>Gobinath Subramaniam</t>
  </si>
  <si>
    <t>Regional Director of Operations - Southeast Asia</t>
  </si>
  <si>
    <t>www.linkedin.com/in/gobinathsubramaniam</t>
  </si>
  <si>
    <t>Online Sales Specialist</t>
  </si>
  <si>
    <t>gob.y.kl@gmail.com</t>
  </si>
  <si>
    <t>LinkedIN</t>
  </si>
  <si>
    <t>Ritesh Agarwal @ OYO Founder</t>
  </si>
  <si>
    <t>Supporting Lemonilo's online business growth by optimising each of Lemonilo’s online channels (Lemonilo Online Platform, Shopee, Tokopedia, etc.)</t>
  </si>
  <si>
    <t>Whitelist for any country.</t>
  </si>
  <si>
    <t>• 1-2 years of experience in ecommerce, merchandising, and/or digital marketing
• Very comfortable working with Excel
• A practical, creative, strategic, data-driven person with an entrepreneurial mindset (ambitious &amp; able to take initiative)
• A fast learner and action/result oriented that work well in team environment, but also individually
• Good understanding of ecommerce tools &amp;  digital marketing</t>
  </si>
  <si>
    <t>Cian O'Dowd</t>
  </si>
  <si>
    <t>Head of Expansion</t>
  </si>
  <si>
    <t>https://www.linkedin.com/in/cianodowd1/</t>
  </si>
  <si>
    <t>tinyurl.com/vd9x26h</t>
  </si>
  <si>
    <t>cian.odowd@aya.yale.edu</t>
  </si>
  <si>
    <t>Sales, Product, Exec team</t>
  </si>
  <si>
    <t>Malin Renstrom, Chief of Staff, Zilingo</t>
  </si>
  <si>
    <t>EP-required for Singapore</t>
  </si>
  <si>
    <t>Meredyth Khin Yadanar Hein</t>
  </si>
  <si>
    <t>Business Analytics Executive</t>
  </si>
  <si>
    <t>Inception Technology Co., Ltd.</t>
  </si>
  <si>
    <t>https://www.linkedin.com/mkyh</t>
  </si>
  <si>
    <t>meredyth.kyh@gmail.com</t>
  </si>
  <si>
    <t>Test Engineer (Automation)</t>
  </si>
  <si>
    <t>Marketing, Finance, Data and analytics, Exec team</t>
  </si>
  <si>
    <t>To review all documents (e.g. businessrequirements, functional specifications and technical specifications) and understand what need to be tested (e.g. automated test creation). Create, update, and maintain comprehensive test documentation (e.g. test case, test script, prioritization, etc.) based on requirements to ensure reliable product delivery (e.g. functional and performance testing) within the tribe. Leverage test cases and convert them into automation test scripts.</t>
  </si>
  <si>
    <t>LinkedIn associate</t>
  </si>
  <si>
    <t>• Testing methodologies (creating test plan, test cases, executing tests).
• Knowledge or experience in any Automation tools (katalon, ghost inspector, cypress, jmeter, postman, runscope, appium, robot framework, locust).
• Knowledge or experience in integrating automation test to CI/CD.
• Basic programming/scripting (nodeJS, javascript, java, groovy, golang)</t>
  </si>
  <si>
    <t>Vivek Aggarwal</t>
  </si>
  <si>
    <t>tinyurl.com/yjelth54</t>
  </si>
  <si>
    <t>Prive Technologies</t>
  </si>
  <si>
    <t>https://www.linkedin.com/in/vivek-aggarwal-a08715a/</t>
  </si>
  <si>
    <t>vivekaggarwal23@gmail.com</t>
  </si>
  <si>
    <t>Jason Low @ Funding Societies</t>
  </si>
  <si>
    <t>Ferdinand Rudolf</t>
  </si>
  <si>
    <t>Sales manager</t>
  </si>
  <si>
    <t>Zuzu hospitality</t>
  </si>
  <si>
    <t>https://www.linkedin.com/in/rudolfodoh/</t>
  </si>
  <si>
    <t>Mobile Flutter Developer</t>
  </si>
  <si>
    <t>- Building scalable mobile applications to help millions of users in finding the best ecommerce recommendation 
- Drive innovation to enhance the user experience
- Evaluate frontend performance / features to optimize its impact for the company
- Explore and evaluate the practicality of new technologies to improve existing processes and/or products</t>
  </si>
  <si>
    <t>- Minimum 4 years of design and developing mobile application (iOs / Android)
- Minimum 1 year experience using flutter
- Minimum 2 years experience with push notifications, APIs and cloud messaging
- Minimum 2 years experience in RESTful APIs to connect mobile applications to back-end services.
- Portfolio of apps developed must be provided
- Experience with large e-commerce web sites is desirable.</t>
  </si>
  <si>
    <t>Telunjuk.com</t>
  </si>
  <si>
    <t>ferdinand.rudolf.odoh@gmail.com</t>
  </si>
  <si>
    <t>no one referr me</t>
  </si>
  <si>
    <t>Yan Kessler</t>
  </si>
  <si>
    <t>Head of growth SEA</t>
  </si>
  <si>
    <t>William Russell</t>
  </si>
  <si>
    <t>https://www.linkedin.com/in/yankessler/</t>
  </si>
  <si>
    <t>yan.kessler@gmail.com</t>
  </si>
  <si>
    <t>Thibaud Chommeloux, GM @ Aspire</t>
  </si>
  <si>
    <t>Thibaud Chommeloux - GM @ Aspire Th</t>
  </si>
  <si>
    <t>Great leader that always look to bring new ideas on the table, love to empower his team and push them to overperform</t>
  </si>
  <si>
    <t>Required for Singapore</t>
  </si>
  <si>
    <t>Information Technology</t>
  </si>
  <si>
    <t>Wilson Ow</t>
  </si>
  <si>
    <t>Senior Customer Insight</t>
  </si>
  <si>
    <t>OnlinePajak</t>
  </si>
  <si>
    <t>https://www.linkedin.com/in/wilsonowpmp/</t>
  </si>
  <si>
    <t>https://www.telunjuk.com/careers</t>
  </si>
  <si>
    <t>wilsonow1989@outlook.com</t>
  </si>
  <si>
    <t>Ex-Colleague</t>
  </si>
  <si>
    <t>Anthony So, Head of Data Science, OnlinePajak</t>
  </si>
  <si>
    <t>Wilson was absolutely instrumental in the successful deployment of our new CRM tool. I was very impressed by Wilson's expertise in managing customer data lifecycle. He consistently demonstrated leadership and forward-thinking in this project. His ability to assess risks and recommend mitigation plans and his hands-on approach won him the respect of the staff. Wilson would be a strong asset for any company he will work for.</t>
  </si>
  <si>
    <t>John Coates</t>
  </si>
  <si>
    <t>Media and Sports Agent</t>
  </si>
  <si>
    <t>ethiks agents</t>
  </si>
  <si>
    <t>https://www.linkedin.com/in/coatesjohn/</t>
  </si>
  <si>
    <t>johnpcoates@gmail.com</t>
  </si>
  <si>
    <t>Email to: nova@telunjuk.com</t>
  </si>
  <si>
    <t>Kim Lovely @Lovely3C</t>
  </si>
  <si>
    <t>Kim Lovely, Matt Daly, Marcus Ulvne</t>
  </si>
  <si>
    <t xml:space="preserve">John is passionate, creative and has excelled in more than one industry. Tech, renewable energy, media and sports. </t>
  </si>
  <si>
    <t>Candice Gallagher</t>
  </si>
  <si>
    <t>Marketing Director</t>
  </si>
  <si>
    <t>https://www.linkedin.com/in/candice-gallagher-singapore/</t>
  </si>
  <si>
    <t>Senior Backend Engineer</t>
  </si>
  <si>
    <t>- Building scalable web applications to help millions of users in finding the best ecommerce recommendation
- Drive innovation to enhance the user experience by optimizing our big data
- Bring new technology or methodology to speed up the development process and product quality
- Deliver high quality of coding by performing unit testing and providing techical documentation</t>
  </si>
  <si>
    <t>- Minimum 4 years experience with server side languages such as Java, PHP
- Minimum 2 years experience with database technology such as Elasticsearch, NoSQL, MongoDB, Cassandra
- Minimum 2 years experience in using Linux
- Minimum 2 years experience in Scaling application (Horizontal &amp; Vertical)
- Experience with Swagger / Auto Generated Documentation
- Experience in Golang is preferable</t>
  </si>
  <si>
    <t>mmecandice@hotmail.com</t>
  </si>
  <si>
    <t>Marketing, Exec team</t>
  </si>
  <si>
    <t>Sophie Baillie, Head of Production</t>
  </si>
  <si>
    <t>Willy Vanneste</t>
  </si>
  <si>
    <t xml:space="preserve">Head of Marketing, SaaS </t>
  </si>
  <si>
    <t>https://www.linkedin.com/in/willy-vanneste-5000894b/</t>
  </si>
  <si>
    <t>willyvanneste@icloud.com</t>
  </si>
  <si>
    <t xml:space="preserve">Candice Gallagher, Marketing Director @ Zilingo </t>
  </si>
  <si>
    <t>Nga Nguyen</t>
  </si>
  <si>
    <t>Marketing Senior Specialist (products, events)</t>
  </si>
  <si>
    <t>AXA Insurance Pte Ltd</t>
  </si>
  <si>
    <t>https://www.linkedin.com/in/mimi-nguyen</t>
  </si>
  <si>
    <t>pbn.nguyen@gmail.com</t>
  </si>
  <si>
    <t>French Tech Talent Exchange</t>
  </si>
  <si>
    <t>Wilfried Buiron</t>
  </si>
  <si>
    <t>https://www.linkedin.com/in/wilfried-buiron/</t>
  </si>
  <si>
    <t>wilfried@atelierwen.com</t>
  </si>
  <si>
    <t>Strong experience in Docker, Ansible, puppet, mesos and Kubernetes.
  Strong knowledge of Distributed Systems such as Hadoop, containers.
  Experience on Perl/Python.
  Work directly on Kubernetes, Docker, and several other open source projects.
  Experience administering a data warehouse and analytics infrastructure using YARN, Spark, Hive, and/or Impala. Management of Hive UDF’s and PySpark dependencies preferred.
  Experience with a scripting language such as Ruby or Python.</t>
  </si>
  <si>
    <t>EP (currently on Entrepass)</t>
  </si>
  <si>
    <t>Kong Yuk Wai</t>
  </si>
  <si>
    <t>Key Account Manager</t>
  </si>
  <si>
    <t>6-7 years of experience in DevOps especially in configuration management tools such as Puppet or Chef.
  Responsible for overall Docker &amp; Kubernetes,mesos setup, configuration
  Experience in defining Bigdata Deployment Solution on Docker based environment
  Should be well versed in generic Administration tasks of creating Docker images managing versions, container networking and standard Infrastructure maintenance tasks on Docker and kubernetes platform.
  Should have knowledge of Linux kernel options such as groups and defining application groups to restrict resources</t>
  </si>
  <si>
    <t>Percept Solutions Pte. Ltd</t>
  </si>
  <si>
    <t>https://www.linkedin.com/in/yuk-wai-kong-637a55183/</t>
  </si>
  <si>
    <t>https://vcf.mycareersfuture.sg/vcf/ict_professionals_apr20/jobs/listing/search/Percept%2520Solutions?pagination=1&amp;job_category=</t>
  </si>
  <si>
    <t>kongyukwai@gmail.com</t>
  </si>
  <si>
    <t>Calvin Pang, CM @ Lazada malaysia</t>
  </si>
  <si>
    <t>Ratna Dewi</t>
  </si>
  <si>
    <t>Personal Assistant for Corporate</t>
  </si>
  <si>
    <t>PT. Hello Kreasi Indonesia</t>
  </si>
  <si>
    <t>ratnaiwedratna@gmail.com</t>
  </si>
  <si>
    <t>samsannovia@gmail.com</t>
  </si>
  <si>
    <t>Yes I Have , Banyu Bening Dan Rahmawati as part of team</t>
  </si>
  <si>
    <t>Banyu Bening org yang open mind dan selalu memberi nilai positif dalam ide kerja; RAhma org yang selalu memberikan masukan dan ide cemerlang dalam organisasi</t>
  </si>
  <si>
    <t>Dont Have</t>
  </si>
  <si>
    <t>Prerna S</t>
  </si>
  <si>
    <t>Brand, Marketing and Communications Manager</t>
  </si>
  <si>
    <t>Zimplistic</t>
  </si>
  <si>
    <t>https://www.linkedin.com/in/sharmaprerna025/</t>
  </si>
  <si>
    <t>Apply via the URL Link or send your profile to recruit@percept-solutions.com</t>
  </si>
  <si>
    <t>.NET Developer</t>
  </si>
  <si>
    <t>Design and develop software, architecture, specifications, and technical interfaces and features.
  Maintain high standards of software quality within the team by establishing good practices.
  Revise, update, refactor and debug code
  Develop documentation throughout the software development life cycle (SDLC)
  Analyze and resolve technical and application problems.</t>
  </si>
  <si>
    <t>prernasharma025@gmail.com</t>
  </si>
  <si>
    <t>3+ years of experience with development, administration, and general user knowledge on Microsoft DotNET (C# or VB.NET) and MSSQL.
  Experience with scripting to include, but not limited to, Windows PowerShell.
  Experience with HTML5, StyleSheet (BootStrap), SQL, XML, XSLT, Client Side Script, MVC.
  Experience with the architecture of .NET framework and MVC.
  Experience in using Visual Studio and using Microsoft TFS.
  Solid understanding of IIS for window application servers.
  Good to have: Understand with Kentico 12 or relevant CMS knowledge.
  Good to have: Understand with SharePoint 2013 knowledge.
  Good to have: Understand nUnit and Selenium experience platform.</t>
  </si>
  <si>
    <t>Pranoti, CEO @ Zimplistic</t>
  </si>
  <si>
    <t>Yamini, Special Projects Manager @Zimplistic</t>
  </si>
  <si>
    <t>https://vcf.mycareersfuture.sg/vcf/ict_professionals_apr20/job/MCF-2020-0035874</t>
  </si>
  <si>
    <t>Dhruv Talwar, Head of Brand Strategy @Godrej</t>
  </si>
  <si>
    <t>Currently on DP, LOC eligible, Last company had LOC</t>
  </si>
  <si>
    <t>POH C.B.</t>
  </si>
  <si>
    <t>Senior Consultant</t>
  </si>
  <si>
    <t>Prefer not to disclose</t>
  </si>
  <si>
    <t>https://www.linkedin.com/in/pohchengboon/</t>
  </si>
  <si>
    <t>poh888@gmail.com</t>
  </si>
  <si>
    <t>Marketing, Sales, BD and Partnerships, Engineering, Product, Accounting, Finance, Ops, Data and analytics, Exec team, HR, People, Talent, Design</t>
  </si>
  <si>
    <t>Random</t>
  </si>
  <si>
    <t>None (I am including myself here, to see if anyone would really reach out to me through this means</t>
  </si>
  <si>
    <t>None (ping me, so I know someone is reading this list?)</t>
  </si>
  <si>
    <t>ALDY PRANATA</t>
  </si>
  <si>
    <t>loopup.com</t>
  </si>
  <si>
    <t>https://www.linkedin.com/in/aldy-pranata-69367798/</t>
  </si>
  <si>
    <t>IT Security Engineer</t>
  </si>
  <si>
    <t>aldy.consultant@gmail.com</t>
  </si>
  <si>
    <t>2 years comparable working experience in any of the following areas 
  Information Security Risk Management
  Information security management &amp; Audit 
  Security vulnerability assessment
  Basic scripting knowledge</t>
  </si>
  <si>
    <t>Ratna,Recruitment @ hiapp.com</t>
  </si>
  <si>
    <t>Strong technical aptitude with a specialization in design, implementation and review of application information security architecture, engineering and/or process
  Strong knowledge in the web application security areas related to but not limited to XML, SOAP, SSL, Java, Firewalls, Load balancers, PKI, OWASP, Network Security, Service management, industry regulations
  Experience with Threat Modeling techniques
  Background in application security assurance, application vulnerability assessments, and software security</t>
  </si>
  <si>
    <t>Brandon Schmittling</t>
  </si>
  <si>
    <t>User Experience Lead</t>
  </si>
  <si>
    <t>Huge</t>
  </si>
  <si>
    <t>https://www.linkedin.com/in/bschmittling/</t>
  </si>
  <si>
    <t>https://vcf.mycareersfuture.sg/vcf/ict_professionals_apr20/job/MCF-2020-0053644</t>
  </si>
  <si>
    <t>Paul Hadjy, CEO @ Horangi</t>
  </si>
  <si>
    <t>Paul Hadjy (CEO at Horangi) / Masturah Maiden (Sr. IxD at Huge) / Ivy Huang (IxD at Huge) / Bobby Tay (Associate Creative Director at Huge)</t>
  </si>
  <si>
    <t>U.S. Citizen holding a Singapore Dependant Pass</t>
  </si>
  <si>
    <t>Abdul Muhaimin</t>
  </si>
  <si>
    <t>ZEN eServices Pte Ltd</t>
  </si>
  <si>
    <t>https://www.linkedin.com/in/abdul-muhaimin-46741037/</t>
  </si>
  <si>
    <t>Sean Cheng</t>
  </si>
  <si>
    <t>Shohita, Country Manager</t>
  </si>
  <si>
    <t>Determined, quick to spot and solve issues and works well in a team</t>
  </si>
  <si>
    <t>Citizen</t>
  </si>
  <si>
    <t xml:space="preserve">Fiona Toon </t>
  </si>
  <si>
    <t>HR, Learning &amp; Development Specialist</t>
  </si>
  <si>
    <t>Thales DIS (Singapore) Pte Ltd</t>
  </si>
  <si>
    <t>www.linkedin.com/in/fiona-toon-1375b2149</t>
  </si>
  <si>
    <t>Kelvin, Candidate Manager @ TEKsystems</t>
  </si>
  <si>
    <t>None, Singapore Citizen</t>
  </si>
  <si>
    <t>Husni Sidik</t>
  </si>
  <si>
    <t>Relationship Manager</t>
  </si>
  <si>
    <t>PT Bank Negara Indonesia (Persero) Tbk.</t>
  </si>
  <si>
    <t>https://www.linkedin.com/in/husni-sidik-5097ab168/</t>
  </si>
  <si>
    <t>Network Engineer (CCNA/CCNP)</t>
  </si>
  <si>
    <t>Proven hands-on network engineering experience in installation, configuration and supporting network equipment including routers, switches, WLAN controllers and APs, and other telecommunications devices
  Deep understanding of OSI and TCP/IP model
  Proficiency in routing, switching, LAN and WLAN technologies
  Proficiency in networking protocols (e.g. OSPF, IPSEC, BGP, QoS, 802.11, RADIUS, TACACS+, DNS, DHCP)
  Ability to perform in-depth troubleshooting and analysis of connection session issues using firewall logs and network analyzer tools
  Proficiency in Network Security concepts with proficiency in configuration of Cisco, Check Point and Palo Alto security products
  Proficiency in cellular mobile access network technologies (3G/4G/5G)
  Proficiency in DWDM technologies, optical networking and components involved. ADVA and Huawei optical products in particular.
  Understanding of Cisco Data Center Interconnect (DCI) framework and concepts like OTV, vPC
  Proficiency in switch virtualization technologies like Cisco’s Virtual Switching System (VSS) and HP’s Intelligent Resilient Framework (IRF).
  Understanding of switch link aggregation concept and proficiency in link aggregation among Cisco switches, HP switches and servers.
  Understanding of SDN, SD-WAN and NFV concepts and technologies
  Network automation competency with Python, Netconf, Restconf, and RESTful API etc.
  Hands on experience in Networking Incident Support.
  Hands on experience in Network Change Request support, including analysing, plan, review &amp; implementation.
  Be part of the preventive maintenance team to attend to issues reported in the yard area.
  On 24x7 rotational standby shift duties or Shift schedules</t>
  </si>
  <si>
    <t>Working knowledge with Cisco Nexus, BGP, OSPF, MPLS
  CCNA / CCNP certified, with at least 5 years of relevant working experience managing enterprise scale networks.
  Experience in managing Cisco network equipment on an enterprise level, and Cisco wireless is mandatory.
  Experienced in support security devices such as Palo Alto firewall, Checkpoint firewall, Cisco ASA firewall, FirePower.
  Experienced in support DWDM equipment such as ADVA, Cisco.</t>
  </si>
  <si>
    <t>https://vcf.mycareersfuture.sg/vcf/ict_professionals_apr20/job/MCF-2020-0079747</t>
  </si>
  <si>
    <t>Selma FutureLabs Venture</t>
  </si>
  <si>
    <t>Hariyadi - Relationship Manager</t>
  </si>
  <si>
    <t>Christopher Lee</t>
  </si>
  <si>
    <t xml:space="preserve">Programmatic Specialist </t>
  </si>
  <si>
    <t>Adara</t>
  </si>
  <si>
    <t>http://www.linkedin.com/in/christopher-lee-63578026</t>
  </si>
  <si>
    <t>Marketing, Ops, Data and analytics</t>
  </si>
  <si>
    <t>E-pass for Singapore</t>
  </si>
  <si>
    <t>Shabirin Ariffin</t>
  </si>
  <si>
    <t>Head of Strategic Marketing &amp; Communications</t>
  </si>
  <si>
    <t>NETS</t>
  </si>
  <si>
    <t>https://www.linkedin.com/in/shabirin</t>
  </si>
  <si>
    <t>Cloud System Engineer</t>
  </si>
  <si>
    <t>Supporting daily operation in Cloud environment
  Supporting Microsoft windows VMWare, Solaris, and RHEL administration, troubleshooting, configuration, and OS patching.
  Supporting network infrastructure such as firewall, switches, forward proxy, packetshaper.
  Perform system changes through an established change request process</t>
  </si>
  <si>
    <t>Min 2 years experience in Vmware cloud environment
  Experience in supporting, Windows 2012/2016, Linux, Unix, Networking, SCCM</t>
  </si>
  <si>
    <t>https://vcf.mycareersfuture.sg/vcf/ict_professionals_apr20/job/MCF-2020-0035879</t>
  </si>
  <si>
    <t>Marketing Interactive</t>
  </si>
  <si>
    <t>Laurine Philbert</t>
  </si>
  <si>
    <t>Assistant Manager, M&amp;A Transaction Services and Business Modeling (Financial Advisory Services)</t>
  </si>
  <si>
    <t>https://www.linkedin.com/in/laurinephilbert/</t>
  </si>
  <si>
    <t>BD and Partnerships, Accounting, Finance</t>
  </si>
  <si>
    <t>Jean Pierre Sedaghat @ Ventage Capital Partners</t>
  </si>
  <si>
    <t>Mahdhir Mustaffa</t>
  </si>
  <si>
    <t>PR Lead Southeast Asia</t>
  </si>
  <si>
    <t>https://www.linkedin.com/in/mahdhirmustaffa/</t>
  </si>
  <si>
    <t>C++ Developer</t>
  </si>
  <si>
    <t>The Job scope includes software analysis, software design, code implementation, software integration, module verification, and validation
 You will be responsible for the quality and on-time delivery of your work-products throughout the software development lifecycles</t>
  </si>
  <si>
    <t>Degree/Masters in Computer Science/Engineering, preferably with specialization or related experience in development of graphical user interface for embedded devices.
  Strong understanding of Object-Oriented Analysis and Design (OOAD)
  Excellent/Strong programming skills in C/C++/C#
  Experience in XML design and implementation
  Experience with software configuration management tools/version control tools
  Analysis and design experience using UML preferred</t>
  </si>
  <si>
    <t>https://vcf.mycareersfuture.sg/vcf/ict_professionals_apr20/job/MCF-2020-0036061</t>
  </si>
  <si>
    <t>Clarissa Ho, PR Associate @ Zilingo</t>
  </si>
  <si>
    <t>William Hendradjaja</t>
  </si>
  <si>
    <t>Senior Manager Business Development</t>
  </si>
  <si>
    <t>Local Champions Indonesia</t>
  </si>
  <si>
    <t>https://www.linkedin.com/in/sylvia-christianti-s-e-m-i-kom-71bb2037/</t>
  </si>
  <si>
    <t>Yansen Djunaidy GM of Sales MNC Land</t>
  </si>
  <si>
    <t>Sylvia is a hard worker person. she always try to responsible for her job. Sylvia is an easy going person with a good attitude. She really meant to be a goals oriented for her company</t>
  </si>
  <si>
    <t>Beatriz dela Cruz</t>
  </si>
  <si>
    <t>MBA Candidate at Chicago Booth</t>
  </si>
  <si>
    <t>Mynt (Globe Fintech Innovations)</t>
  </si>
  <si>
    <t>https://www.linkedin.com/in/beatriz-dela-cruz-20b94926/</t>
  </si>
  <si>
    <t xml:space="preserve">Senior Frontend Engineer for Scalable Web </t>
  </si>
  <si>
    <t>Nicharee Nithipongwanich (fellow MBA Candidate at Booth)</t>
  </si>
  <si>
    <t>Philippine citizen</t>
  </si>
  <si>
    <t>Victor Tissot</t>
  </si>
  <si>
    <t>Enapter</t>
  </si>
  <si>
    <t>https://www.linkedin.com/in/victortissot/</t>
  </si>
  <si>
    <t>- Building scalable web applications to help millions of users in finding the best ecommerce recommendation 
- Drive innovation to enhance the user experience
- Imrpove the company's website to be more SEO friendly and to increase traffic
- Evaluate frontend performance / features to optimize its impact for the company
bring new technique to achieve frontend's success metrics</t>
  </si>
  <si>
    <t>- Minimum 5 years experience in JavaScript, HTML and CSS
- Minimum 3 years experience in React/Angular/Vue
- Minimum 2 years experience in REST
- Minimum 2 years experience in developing SEO friendly application
- Minimum 2 years experience on web page speed optimization
- Minimum 3 years experience using PHP</t>
  </si>
  <si>
    <t>Aim, CoFounder HUBBA Thailand</t>
  </si>
  <si>
    <t>heri wahyudianto</t>
  </si>
  <si>
    <t>fullstack developer</t>
  </si>
  <si>
    <t>https://id.linkedin.com/in/heri-wahyudianto</t>
  </si>
  <si>
    <t>sseven@hacktiv8.com</t>
  </si>
  <si>
    <t>Audrick Ong</t>
  </si>
  <si>
    <t>Full Stack Javascript Developer</t>
  </si>
  <si>
    <t>https://www.linkedin.com/in/audrick</t>
  </si>
  <si>
    <t>- Implementing new technologies for the company
- Managing terabytes data efficiently
- Acquiring, processing, and analyzing data from dozens of ecommerce in Indonesia 
- Recommending data architecture and infrastructure that is efficient to be implemented in the company
- Implementing data science in processing data</t>
  </si>
  <si>
    <t>- Background knowledge in either Math, Physic or IT 
- Minimum 5 years experience in Software Engineering
- Minimum 2 years experience with NoSQL technologies such as Elasticsearch, MongoDB, Cassandra
- Minimum 2 years experience in queueing system such as Kafka, NSQ, etc.
- Minimum 3 years experience in Linux environment
- Minimum 2 years in Scraping framework experience (Scrapy or Gocolly)
- Minimum 2 years experience in Distributed systems such as Spark, Hadoop, Hive, etc.</t>
  </si>
  <si>
    <t>Ronald Ishak, Co-Founder @Hacktiv8.com</t>
  </si>
  <si>
    <t>Shiori Murayama</t>
  </si>
  <si>
    <t>Brand and Partnerships Manager</t>
  </si>
  <si>
    <t>Polypixel Studios</t>
  </si>
  <si>
    <t>https://my.linkedin.com/in/shiorimurayama</t>
  </si>
  <si>
    <t>This excel sheet was shared with me by a friend.</t>
  </si>
  <si>
    <t>Malaysian Citizen. Will need Visa for other roles outside of Malaysia.</t>
  </si>
  <si>
    <t>Jennifer Lim</t>
  </si>
  <si>
    <t>Account Manager (Sales)</t>
  </si>
  <si>
    <t>PHAR Partnerships Pte Ltd</t>
  </si>
  <si>
    <t>https://www.linkedin.com/in/jennifer-lim-64760669/</t>
  </si>
  <si>
    <t>Head of Data</t>
  </si>
  <si>
    <t>- Managing a team of data engineers and data analysts as well as playing a leading role in the recruiting activities of the data division in order to ensure consistency in divisional efficiency
- Building advanced Data Science/Machine Learning models and integrate the models into product
- Improving the Quality and effectiveness of product features
- Measuring performance of various data sciences models
- Working on solving complex business problems using analytics</t>
  </si>
  <si>
    <t>- Minimum 2 years of experience in similar role
- Strong Analytical &amp; Data Visualization skills
- Skills on BI Tools (Tableu, QlikView, etc)
- Knowledge on SQL and data analysis programming languages such as Phyton or R
- Master’s degree on Computer Science or Engineering or Mathematics and Statistics
- Minimum 4 years experience with Big Data technology (Hadoop, Hive, Spark, Presto)
- Strong leadership and communication skills</t>
  </si>
  <si>
    <t>Prem Bhatia, MD at PHAR Partnerships</t>
  </si>
  <si>
    <t>Prem Bhatia, MD. prem.bhatia@pharpartnerships.com</t>
  </si>
  <si>
    <t>Singaporean Citizen.</t>
  </si>
  <si>
    <t>Melita Nathania Sidharta</t>
  </si>
  <si>
    <t>Group Reservation Staff (Backend)</t>
  </si>
  <si>
    <t>Dwidaya Nusantara Convex</t>
  </si>
  <si>
    <t>https://www.linkedin.com/in/melita-nathania-515021168</t>
  </si>
  <si>
    <t>Lionel Wong</t>
  </si>
  <si>
    <t>Marketing Project Manager</t>
  </si>
  <si>
    <t>www.linkedin.com/in/lionel-wong-9313b427</t>
  </si>
  <si>
    <t>Associate Visual Designer</t>
  </si>
  <si>
    <t>News Articles</t>
  </si>
  <si>
    <t>PR</t>
  </si>
  <si>
    <t>What you'll do:
 Execute campaigns in a fast-paced results driven team environment across multiple platforms and languages.
 Support design production and localization efforts.
 Ensure that Tripadvisor’s established tone of voice and look-and-feel is consistent across multiple touchpoints, by maintaining and enforcing Tripadvisor’s brand book, templates, style guides, and toolkits, and updating and refining these as needed.
 Collaborate with Brand, Product, and Commercial stakeholders to translate business goals into strong design solutions that elevate the Tripadvisor brand experience.
 Work across multiple projects simultaneously, from concept to completion.</t>
  </si>
  <si>
    <t>Lily Krisniagasari</t>
  </si>
  <si>
    <t>CRM &amp; Loyalty manager</t>
  </si>
  <si>
    <t>What we’re looking for:
 Bachelor’s Degree in Graphic Design or other related accreditation to an Arts College or University.
 3+ years of design work experience – illustration and motion graphics a plus.
 Capable of working in a fast-paced, high-volume work environment with the ability to consistently deliver to deadlines.
 Strong communicator - Ability to present and articulate design solutions/rationale to the broader creative team and project stakeholders, and capable of taking direction/feedback and translating it into final creative deliverables.
 Proficiency in Adobe Creative Suite and Sketch.
 Design capabilities across multiple touchpoints and media, including CRM and social channels. Video editing/production skills are considered a bonus. Knowledge of social platform assets, best practices, and trends, and design of social assets a plus.
 Solid understanding of design principles and best practices (e.g. typography, color theory, layout, information hierarchy).
 Proactive, detail-oriented and well-organized.
 A passion for travel, design and creative expression.</t>
  </si>
  <si>
    <t>https://www.linkedin.com/in/lily-krisniagasari-b5698333/</t>
  </si>
  <si>
    <t>Tripadvisor</t>
  </si>
  <si>
    <t>https://careers.tripadvisor.com/job/TRINUS2163395/Associate-Visual-Designer</t>
  </si>
  <si>
    <t>Intan, Product Owner @ CT Corp Digital</t>
  </si>
  <si>
    <t>Jelang R. Kharisma</t>
  </si>
  <si>
    <t>Coding Bootcamp Instructor</t>
  </si>
  <si>
    <t>https://www.linkedin.com/in/jrmdhn/</t>
  </si>
  <si>
    <t>mtay@tripadvisor.com</t>
  </si>
  <si>
    <t>Muhammad untung ariessandi</t>
  </si>
  <si>
    <t>Fullstack development</t>
  </si>
  <si>
    <t>ariessandi7@gmail.com</t>
  </si>
  <si>
    <t>Ayu.sudi@hacktiv8.com</t>
  </si>
  <si>
    <t>Asia</t>
  </si>
  <si>
    <t>Putri Augustin</t>
  </si>
  <si>
    <t>Marketing Communication Team</t>
  </si>
  <si>
    <t>PT. Transportasi Jakarta</t>
  </si>
  <si>
    <t>https://www.linkedin.com/in/putri-augustin-a354b4109/</t>
  </si>
  <si>
    <t xml:space="preserve">My husband </t>
  </si>
  <si>
    <t>Mr. Agung Wicaksono, ex CEO PT. Transportasi Jakarta</t>
  </si>
  <si>
    <t>Arbiyan Christianto</t>
  </si>
  <si>
    <t>South East Asia - Indonesia Marketing Manager</t>
  </si>
  <si>
    <t>ALAX.IO Subsidiary of DECENT.CH</t>
  </si>
  <si>
    <t>https://www.linkedin.com/in/arbiyan/</t>
  </si>
  <si>
    <t>Design Director</t>
  </si>
  <si>
    <t>What you’ll do:
 Bring original concepts and campaigns to life with a fresh visual approach to design materials, and strong executions that drive program goals that can be deployed across multiple points of sale and languages.
 Ensure that Tripadvisor’s established tone of voice and look-and-feel is consistent across multiple touchpoints, by maintaining and enforcing Tripadvisor’s brand book, templates, style guides, and toolkits, and updating and refining these as required.
 Collaborate with Brand, Product, and Commercial stakeholders to translate business goals into strong design solutions that elevate the Tripadvisor brand experience.
 Own multiple projects simultaneously, from concept to completion.
 Oversee and manage the work of junior level creatives as required to support the Creative Director.</t>
  </si>
  <si>
    <t>What we’re looking for:
 6-8+ years of relevant industry experience working on consumer brands (agency experience a plus).
 Design capabilities across multiple touchpoints and media, including CRM and social channels. Video editing/production skills are considered a bonus.
 Expert level proficiency in Adobe Creative Suite. Basic understanding of CSS, HTML-5 a plus.
 Strong communication, organizational and problem-solving skills.
 Ability to understand business objectives, incorporate feedback and produce exceptional solutions that represent the brand.
 Awareness of trends in culture and consumer brands.
 Must have previous management experience.</t>
  </si>
  <si>
    <t>https://careers.tripadvisor.com/job/TRINUS2163461/Design-Director</t>
  </si>
  <si>
    <t xml:space="preserve">Rosendo Tadefa Cariño Jr., ALAX.io Global Community Manager </t>
  </si>
  <si>
    <t>Arbiyan is an awesome partner, working for him for more than 2 years remotely and there's never a problem with our coordination and communication</t>
  </si>
  <si>
    <t>Require Work Visa in Singapore</t>
  </si>
  <si>
    <t>Bayu Rakaziwi</t>
  </si>
  <si>
    <t>Ciayo</t>
  </si>
  <si>
    <t>https://www.linkedin.com/in/bayu-rakaziwi/</t>
  </si>
  <si>
    <t>Cahaya, Android Dev @ ciayo.com</t>
  </si>
  <si>
    <t>Rachel Tio</t>
  </si>
  <si>
    <t>Constellation Agency</t>
  </si>
  <si>
    <t>https://www.linkedin.com/in/racheltio/</t>
  </si>
  <si>
    <t>Marketing and Creative</t>
  </si>
  <si>
    <t>Vardhan Kapoor @ Deliveroo</t>
  </si>
  <si>
    <t>Singaporean citizen, no visa required for Singapore</t>
  </si>
  <si>
    <t>Renaldy Krisna</t>
  </si>
  <si>
    <t>Graphic Designer &amp; Video Editor</t>
  </si>
  <si>
    <t>https://id.linkedin.com/in/renaldy-krisna-623417174</t>
  </si>
  <si>
    <t>What you’ll do:
 Lead design sprints for future-forward and ambitious projects for new features or services.
 Run design sprints end-to-end, from crafting the brief and problem space, to rapid prototyping and testing, to quick iterations and pivots, to running workshops and doing presentations to explain the concept.
 Executing all visual design stages from concept to final hand-off to engineering team..
 Measure outcomes and guide design work to ensure concept and execution is aligned with strategy and vision
 Leverage your experience turning complex problems into simple and engaging customer experiences, with a focus on clarity and efficiency.</t>
  </si>
  <si>
    <t>What we’re looking for:
 8+ years of relevant product experience designing for a wide range of projects, particularly mobile first. Preferably:
 Experience leading rapid design sprints in ventures, innovation teams / agencies, consultancies, digital product and/or startups.
 Experience at a consumer tech company with strong visual design and UI skills.
 Fluency across design specializations and expertise in one or more of the following areas: prototyping, research, UI, facilitation, design strategy, product management, front end development (creative technologist).
 Optimistic realism to know when to persevere, pivot or kill concepts.
 Solid conceptual thinking, data driven and results oriented.
 A strong sense of ownership, comfortable with ambiguity, and a philosophy that embraces risk and pushes boundaries</t>
  </si>
  <si>
    <t>https://careers.tripadvisor.com/job/TRINUS2163435/UX-Designer</t>
  </si>
  <si>
    <t>Gul, Head Digital Marketing @ Vizitrip</t>
  </si>
  <si>
    <t>Aldi is a fast-growing worker, he learns very quickly about something. In the last 2 years, he changed his position from product admin, then to social media graphic designer and UI designer.</t>
  </si>
  <si>
    <t>Daniel Palit</t>
  </si>
  <si>
    <t>Associate Account Executive</t>
  </si>
  <si>
    <t>Epsilon</t>
  </si>
  <si>
    <t>https://www.linkedin.com/in/daniel-palit-535b95b2/</t>
  </si>
  <si>
    <t>PT Tennova Cipta Inatech</t>
  </si>
  <si>
    <t>Shufei Ng, Analyst @Pavilion Capital</t>
  </si>
  <si>
    <t>NIL</t>
  </si>
  <si>
    <t>Deanni Ivanda</t>
  </si>
  <si>
    <t>Key Account Executive</t>
  </si>
  <si>
    <t>Idigiline</t>
  </si>
  <si>
    <t>Syarief Putra - Publisher Acquisition Manager</t>
  </si>
  <si>
    <t>Karan Bhalodiya</t>
  </si>
  <si>
    <t>Backend Engineer, DevOps, SRE</t>
  </si>
  <si>
    <t>DataRobot</t>
  </si>
  <si>
    <t>https://www.linkedin.com/in/karanftd/</t>
  </si>
  <si>
    <t>What you’ll do:
 Produce work that demonstrates a strong sense of typography and composition, being both modern and centred on the user experience.
 Create digital experiences, brand campaigns, social media content, activations and more.
 Provide clarity and turn complex problems into simple and engaging customer experiences.
 Partner with product, research, engineering and the business to ensure projects are well defined, high impact, and successfully executed with measurable outcomes
 Validate your designs through A/B testing, qualitative user research and/or tracking metrics
 Be a standard-bearer for design consistency, quality and localisation</t>
  </si>
  <si>
    <t>What we’re looking for:
 8+ years of relevant experience designing for a wide range of projects. Bonus: including mobile and shipped products
 Excellent understanding of how to apply our brand aesthetics to motion and interaction design, as well as a desire to push the boundaries of how our brand is interpreted
 Fluency with both mobile and responsive web design principles and best practices
 Strong conceptual thinking, with high attention to detail and the ability to execute to deadlines 
 Comfortable with ambiguity, willing and able to handle the pressures of an increasing level of responsibility
 Proficiency in Figma, Sketch, Invision, Adobe After Effects, Cinema 4D, Adobe Premiere Pro, Adobe Creative Suite
 An understanding of how modern technologies are used with design
 On-trend in terms of culture, technology and social media</t>
  </si>
  <si>
    <t>Ravi @ F5Networks</t>
  </si>
  <si>
    <t>Employee Pass</t>
  </si>
  <si>
    <t>https://careers.tripadvisor.com/job/TRINUS2163421/Interaction-Designer</t>
  </si>
  <si>
    <t>JOHNWIN CUSTODIO</t>
  </si>
  <si>
    <t>OPERATIONS MANAGER- BUSINESS DEVELOPMENT AND OPERATIONS</t>
  </si>
  <si>
    <t xml:space="preserve">SMARTE CARTE SINGAPORE PTE LTD </t>
  </si>
  <si>
    <t>https://www.linkedin.com/in/johnwin-custodio-918a5550?lipi=urn%3Ali%3Apage%3Ad_flagship3_profile_view_base_contact_details%3BFBOb9KdnRcOcvrtP859EZQ%3D%3D</t>
  </si>
  <si>
    <t xml:space="preserve">STUDENT PASS </t>
  </si>
  <si>
    <t>Sid Narayanan</t>
  </si>
  <si>
    <t>Head, Enterprise SaaS (B2B Software) Business Unit, Zilingo Pte Ltd; Startup Founder; Venture Builder</t>
  </si>
  <si>
    <t>https://www.linkedin.com/in/sid-narayanan-38050a3a/</t>
  </si>
  <si>
    <t>Media Group</t>
  </si>
  <si>
    <t>Visual Designer</t>
  </si>
  <si>
    <t>Sales, BD and Partnerships, Product, Ops, Exec team</t>
  </si>
  <si>
    <t>Employee @ Zilingo</t>
  </si>
  <si>
    <t>What you’ll do:
 Conceptualize and execute campaigns in a fast-paced, results driven team environment across multiple platforms and languages.
 Ensure that Tripadvisor’s established tone of voice and look-and-feel is consistent across multiple touchpoints, by maintaining and enforcing Tripadvisor’s brand book, templates, style guides, and toolkits, and updating and refining these as needed.
 Collaborate with Brand, Product, and Commercial stakeholders to translate business goals into strong design solutions that elevate the Tripadvisor brand experience.
 Work across multiple projects simultaneously, from concept to completion.</t>
  </si>
  <si>
    <t>1) Imal Kalutotage (nCinga, CEO- Acquired by Zilingo- Co Worker), 2) Cian O' Dowd (Head of Expansion, Zilingo), 3)  Steve Melhuish (Founder, Property Guru- not a co worker, more like a mentor/adviser but someone who would be happy to vouch for me)</t>
  </si>
  <si>
    <t>What we’re looking for:
 5+ years of design work experience with marketing experience and motion graphics a plus.
 Demonstrated ability to create conceptual designs and ability to extend existing branding
 Proficiency in Adobe Creative Suite and Sketch. Basic understanding of CSS, HTML-5 a plus
 Design capabilities across multiple touchpoints and media, including CRM and social channels. Video editing/production skills are considered a bonus
 Solid understanding of design principles and best practices (e.g. typography, color theory, layout, information hierarchy)
 Strong communication, organizational and problem-solving skills
 Ability to understand business objectives, incorporate feedback and produce exceptional solutions that represent the brand</t>
  </si>
  <si>
    <t>I don't need a visa to work in Singapore or India.</t>
  </si>
  <si>
    <t>Tommy Napitupulu</t>
  </si>
  <si>
    <t>https://careers.tripadvisor.com/job/TRINUS2163399/Visual-Designer</t>
  </si>
  <si>
    <t>Cost Control</t>
  </si>
  <si>
    <t>Samala Hotel</t>
  </si>
  <si>
    <t>https://www.linkedin.com/in/tommynapitupulu/</t>
  </si>
  <si>
    <t>https://www.instagram.com/p/B-hebOPBieH/</t>
  </si>
  <si>
    <t>Kalibrr</t>
  </si>
  <si>
    <t>Yudha Iqbal Maulana</t>
  </si>
  <si>
    <t>CIAYO Comics</t>
  </si>
  <si>
    <t>https://www.linkedin.com/in/yudha-iqbal-maulana-777708138/</t>
  </si>
  <si>
    <t>Presentation Designer</t>
  </si>
  <si>
    <t>What you’ll do:
 Work with the business to take a concept and turn it into a visual masterpiece.
 Create captivating presentations which adhere to the Tripadvisor branding and bring out the story in a visual and engaging way.
 Collaborate with different stakeholders across Tripadvisor worldwide.</t>
  </si>
  <si>
    <r>
      <rPr>
        <b/>
        <sz val="10"/>
        <rFont val="Arial"/>
      </rPr>
      <t>What we’re looking for:</t>
    </r>
    <r>
      <rPr>
        <sz val="10"/>
        <color rgb="FF000000"/>
        <rFont val="Arial"/>
      </rPr>
      <t xml:space="preserve">
 2-4 years experience in the creative field – preferably in presentation and layout design.
 Highly perceptive individual that is able to understand how a different audience types, views and understands content, across different regions.
 Self-starter who is able to identify opportunities for improving processes and deliverables.
 Demonstrates originality, innovation, problem-solving and dexterity.
 Ability to multitask and meet tight deadlines. 
 Demonstrates a solid understanding of graphic design principles and best practices (e.g. typography, color theory, layout, information hierarchy).
 Expert level proficiency in Microsoft PowerPoint, Google Slides, Keynote
 Expert ability to incorporate video and motion design into presentations; Illustration and data visualisation skills is a plus.
 Familiarity and willingness to pick up other presentation alternatives, such as Prezi, Corel and Haiku Deck.
 Proficiency in Adobe Creative Suite – especially Photoshop, Illustrator, and InDesign</t>
    </r>
  </si>
  <si>
    <t>Erick Liemarga, CTO CIAYO Comics</t>
  </si>
  <si>
    <t>Reyn Yap</t>
  </si>
  <si>
    <t>Digital Content Strategist</t>
  </si>
  <si>
    <t>Kapronasia</t>
  </si>
  <si>
    <t>https://careers.tripadvisor.com/job/TRINUS2163432/Presentation-Designer</t>
  </si>
  <si>
    <t>linkedin.com/in/reynmyap/</t>
  </si>
  <si>
    <t>Jimmy Teo @ Microsoft</t>
  </si>
  <si>
    <t>Terence Neo</t>
  </si>
  <si>
    <t>Student, Researcher</t>
  </si>
  <si>
    <t>University of Oxford</t>
  </si>
  <si>
    <t>https://www.linkedin.com/in/terencenyy/</t>
  </si>
  <si>
    <t>Can work for UK companies until October 2020. I am a Singapore citizen.</t>
  </si>
  <si>
    <t>Sam Ong</t>
  </si>
  <si>
    <t>Investor and Your Personal Accountant</t>
  </si>
  <si>
    <t>AccResources Corporate Services PLT</t>
  </si>
  <si>
    <t>https://my.linkedin.com/in/samongkw</t>
  </si>
  <si>
    <t>BD and Partnerships, Accounting, Finance, Exec team, HR, People, Talent</t>
  </si>
  <si>
    <t>Raghu Kapur</t>
  </si>
  <si>
    <t>Associate Engineer</t>
  </si>
  <si>
    <t>Exotel</t>
  </si>
  <si>
    <t>https://www.linkedin.com/in/raghu-kapur-90ba6b146/</t>
  </si>
  <si>
    <t>Chinmay Bhatter, chinmay@exotel.in</t>
  </si>
  <si>
    <t>Mr. Abhinandan Keldaya, Sr. Engineering Manager</t>
  </si>
  <si>
    <t>Would Require one</t>
  </si>
  <si>
    <t>Han Lun Leow</t>
  </si>
  <si>
    <t>Global IT Delivery Manager</t>
  </si>
  <si>
    <t>DXC Technology</t>
  </si>
  <si>
    <t>https://www.linkedin.com/in/han-lun</t>
  </si>
  <si>
    <t>What you’ll do:
 Copywriting for branding and marketing initiatives, including PR, social media, email campaigns, banner ads, print and web-branded materials, etc.
 Support Brand, CRM, Product, Partnerships and Social Media teams with persuasive copy and customised messaging strategies for defined customer segments and journeys to drive key conversion events.
 Collaborate with creative team members and project owners to determine concepts and copy direction.
 Work with creative team leadership to ensure copy consistently reflects the Tripadvisor brand standards for voice, tone and strategic messaging approach across all touchpoints, modifying for consumer or B2B audiences as appropriate.
 Learn all about our business – what we do, who our audiences are, what we choose to say to them (and why), who our competitors are and how they position relative to us in the industry – using those insights to shape the way we communicate via copy and design strategy</t>
  </si>
  <si>
    <t>What we’re looking for:
 Degree in English, Communications, Advertising or a related field.
 3-5+ years practical working experience as a copywriter, ideally in an agency or in-house setting. Consumer brand experience with a strong online component is ideal.
 Proven aptitude for quick creative and analytical thinking (without sacrificing attention to detail).
 Strong understanding of the principles of marketing and advertising copywriting, vs. long-form content or journalistic writing.
 Ability to work both independently and as part of a team. We thrive on collaboration and creativity, not ego.
 Ability to multitask and meet tight deadlines. 
 Familiarity with the logistical challenges of writing for translations (we are a global brand, so much of your work will be translated into 20+ languages). Speaking multiple languages is a bonus
 Well-organised, commercially astute and outcome-driven 
 Curiosity, confidence, and a sense of humor are required.</t>
  </si>
  <si>
    <t>https://careers.tripadvisor.com/job/TRINUS2163426/Copywriter</t>
  </si>
  <si>
    <t>Coworking Space at Cohive Space</t>
  </si>
  <si>
    <t>Chun Chee Tan, COO @ Willowglen Sdn Bhd</t>
  </si>
  <si>
    <t>Bhunia Souva - General Manager (former manager)</t>
  </si>
  <si>
    <t>HL - result oriented and willing to explore new area, and he always get the job done meeting the expectation</t>
  </si>
  <si>
    <t>Malaysia Citizen. Required work permit if working outside of Malaysia</t>
  </si>
  <si>
    <t>Evona Tan</t>
  </si>
  <si>
    <t>Manager of Account Manager, APAC</t>
  </si>
  <si>
    <t>Sojern Inc</t>
  </si>
  <si>
    <t>https://www.linkedin.com/in/evonatan/</t>
  </si>
  <si>
    <t>Andrew Tan, Country Manager at Wantedly Singapore</t>
  </si>
  <si>
    <t>Ruiyi Yap</t>
  </si>
  <si>
    <t>I’ve had the pleasure of working with Evona at Sojern for three years, and she is easily one of the most talented people I know. Her ability to handle multiple responsibilities and projects is truly remarkable, and she has proven herself to be a genuine expert in the digital advertising space. I was always impressed by the level of commitment Evona had in helping others excel, which she extended to peers that were outside of her direct team. No matter what the circumstances were, she would always place her team’s needs before her own, and inspired others to do the same. As a team member or a leader, Evona is a force to be reckoned with, and I strongly believe that she would be an asset to any company.</t>
  </si>
  <si>
    <t>Mikky Ibrahim Putrohutomo</t>
  </si>
  <si>
    <t>https://www.linkedin.com/in/mikkyibrahim/</t>
  </si>
  <si>
    <t>Sales, BD and Partnerships, Design</t>
  </si>
  <si>
    <t>Fitra Kurniati, Ex- Traveloka</t>
  </si>
  <si>
    <t>Navajo Bima Hadisuwarno, Product Incubation Lead @ Traveloka</t>
  </si>
  <si>
    <t xml:space="preserve">Smruti Sandhya </t>
  </si>
  <si>
    <t xml:space="preserve">Senior Manager - Parnerships &amp; Sales </t>
  </si>
  <si>
    <t>Klub</t>
  </si>
  <si>
    <t>https://www.linkedin.com/in/smruti-sandhya/</t>
  </si>
  <si>
    <t>Gaurav - PM at CoLearn</t>
  </si>
  <si>
    <t>Gaurav Jain - Product Manager at Colearn</t>
  </si>
  <si>
    <t>Sr. Back End Developer</t>
  </si>
  <si>
    <t>Rengarajan Hamsawardhini</t>
  </si>
  <si>
    <t>Research Intern</t>
  </si>
  <si>
    <t>This individual will play a critical role in architecting and developing our private credit digital platform.</t>
  </si>
  <si>
    <t>Agency for Science, Technology and Research (A*STAR)</t>
  </si>
  <si>
    <t>https://www.linkedin.com/in/hamsarajan/</t>
  </si>
  <si>
    <t>Solution architecture experience, Back end development ( Python, PHP, Node). Sharp problem solving skills, ability to learn quickly, ability to understand the business model &amp; product requirements and ability to collaborate across teams.</t>
  </si>
  <si>
    <t>Lend East Pte.Ltd</t>
  </si>
  <si>
    <t>Venture Debt / Digital Lending / Fintech</t>
  </si>
  <si>
    <t>nanda@lendeast.com</t>
  </si>
  <si>
    <t>SINDA</t>
  </si>
  <si>
    <t>Muhamad Ragil Ramadhan</t>
  </si>
  <si>
    <t>IT Infrastructure Administrator</t>
  </si>
  <si>
    <t>https://www.linkedin.com/in/mraagil/</t>
  </si>
  <si>
    <t>Jay Broekman, COO @ CTCorpDigital.com</t>
  </si>
  <si>
    <t>Sita Hapsari</t>
  </si>
  <si>
    <t>Learning and Development</t>
  </si>
  <si>
    <t>https://www.linkedin.com/in/sitahapsari/</t>
  </si>
  <si>
    <t>This individual will play a critical role in architecting and developing our private credit digital platform. Design our data architecture, data model, data mapping, ETL, develop Data quality &amp; validation engine.</t>
  </si>
  <si>
    <t>Data architecture, data model design, Data processing / ETL, NoSQL database experience (MongoDB)</t>
  </si>
  <si>
    <t>Cavin, OYO Rooms Indonesia</t>
  </si>
  <si>
    <t>Putra, Learning and Development Manager</t>
  </si>
  <si>
    <t>Belina Waruwu</t>
  </si>
  <si>
    <t>Diploma Tiga</t>
  </si>
  <si>
    <t>untuk perusahaan baru memberi yang lebih baik kepada perusahaan bekerja keras, bertanggungjawab  dengan pekerjaan dan mengembangkan skil yang saya punya untuk kemajuan perusahaan</t>
  </si>
  <si>
    <t>yes</t>
  </si>
  <si>
    <t>tidak ada</t>
  </si>
  <si>
    <t>Carlin mei sartika Gea dia adalah seorang perempuan yang tangguh dan bekerja keras rendah hati tidak sombong dan sangat membantu dia sangat mencintai pekerjaannya di bidang finance dan sangat teliti dengan kerjaan dan pertanggungjawab dengan kerjaan yang kerjakan, dan yang ke dua Pofesi Zalukhu dia seorang staff BCA dia seorang pekerja keras, displin,sangat baik hati, bertanggungjawab atas pekerjaan yang dia kerjakan dan sangat mencintai pekerjaannya dan yang sangat salut tidak pernah telat untuk soalnya pekerjaan</t>
  </si>
  <si>
    <t>kedisplinan karyawan dan tanggungjawab</t>
  </si>
  <si>
    <t xml:space="preserve">Jekky Wijaya </t>
  </si>
  <si>
    <t>Creative Director &amp; Digital Marketing</t>
  </si>
  <si>
    <t xml:space="preserve">Foomee Science Intelligence </t>
  </si>
  <si>
    <t>https://www.linkedin.com/in/jekky-wijaya-213295167</t>
  </si>
  <si>
    <t>Colleagues</t>
  </si>
  <si>
    <t>Jethro Wang</t>
  </si>
  <si>
    <t>Digital Marketing Manager, APAC</t>
  </si>
  <si>
    <t>Meltwater</t>
  </si>
  <si>
    <t>https://www.linkedin.com/in/jethrowang/</t>
  </si>
  <si>
    <t>Trade Finance Sales - Fintech</t>
  </si>
  <si>
    <t>Jeremy Ong, Project Manager @ Meltwater</t>
  </si>
  <si>
    <t>I've worked with Jethro for almost 2 years, and frequently bounce off marketing and data visualization ideas. Jethro is a patient teacher and active learner. He is always willing to share his marketing knowledge with the team, and constantly improves himself.</t>
  </si>
  <si>
    <t>Seeking a Sales with experience in Trade Finance related products.
 liaising with purchasing offices of medium and large-sized corporates.
 Ideal candidate will have corporate relationships with medium to large companies with an international focus.
 He or she should have excellent communication skills which will allow the creation of new connections with corporates
 Good English Communication skills
 Local language knowledge is required</t>
  </si>
  <si>
    <t>Degree holder with 5+ years’ experience in Trade Finance related activities
 The candidate must be able to demonstrate stability of employment: we value commitment and long-term employment</t>
  </si>
  <si>
    <t>Velotrade Management Limited</t>
  </si>
  <si>
    <t xml:space="preserve">joel </t>
  </si>
  <si>
    <t>Fintech- Trade Finance</t>
  </si>
  <si>
    <t>tax associate</t>
  </si>
  <si>
    <t>ernst &amp; young solutions LLP</t>
  </si>
  <si>
    <t>https://www.linkedin.com/in/joel-tan-02417a14b/</t>
  </si>
  <si>
    <t>https://www.linkedin.com/jobs/cap/view/1694652394/?pathWildcard=1694652394&amp;trk=mcm</t>
  </si>
  <si>
    <t>Sudharsan Thattai Varadhan</t>
  </si>
  <si>
    <t>AirAsia</t>
  </si>
  <si>
    <t>https://www.linkedin.com/in/sudharsantv/</t>
  </si>
  <si>
    <t>Allan Phang, Regional Head of Marketing and PR @ EVOS Esports</t>
  </si>
  <si>
    <t>hr@velotrade.com</t>
  </si>
  <si>
    <t xml:space="preserve">Need Visa to work overseas </t>
  </si>
  <si>
    <t>Julien Anseau</t>
  </si>
  <si>
    <t>PR &amp; Comms Manager</t>
  </si>
  <si>
    <t>Hmlet</t>
  </si>
  <si>
    <t>https://www.linkedin.com/in/julien-anseau-600b3627/</t>
  </si>
  <si>
    <t>Lina Marican, Managing Director, Mutant Communications</t>
  </si>
  <si>
    <t>Reinarddy djohan</t>
  </si>
  <si>
    <t>Photo Editor</t>
  </si>
  <si>
    <t>Sweet Escape</t>
  </si>
  <si>
    <t>https://www.linkedin.com/in/reinarddy/</t>
  </si>
  <si>
    <t>Credit Officer</t>
  </si>
  <si>
    <t>David Soong @ Sweet Escape</t>
  </si>
  <si>
    <t>Prior experience in Credit or Operations
 Conduct all necessary checking in order to meet compliance requirements
 Perform credit evaluation and risk assessment
 Direct experience in Trade Finance/Compliance</t>
  </si>
  <si>
    <t>Degree holder with 2+ years’ experience in Credit or Operational Support role
 The candidate must be able to demonstrate stability of employment: we value commitment and long-term employment
 Capable of managing tasks independently
 Good English Communication skills, Fluency in Chinese preferred</t>
  </si>
  <si>
    <t>Kritika Rajwani</t>
  </si>
  <si>
    <t xml:space="preserve">Manager, Planning and partnerships </t>
  </si>
  <si>
    <t>SMRT</t>
  </si>
  <si>
    <t>https://www.linkedin.com/in/kritika-rajwani/</t>
  </si>
  <si>
    <t>https://www.linkedin.com/jobs/cap/view/1694639340/?pathWildcard=1694639340&amp;trk=mcm</t>
  </si>
  <si>
    <t>Found it in a group chat</t>
  </si>
  <si>
    <t>Mustafa, Group Lead</t>
  </si>
  <si>
    <t>Rangga Dimas Adhinugraha</t>
  </si>
  <si>
    <t>Customer Relations Officer</t>
  </si>
  <si>
    <t>www.linkedin.com/in/rangga-dimas-adhinugraha-3b7092167</t>
  </si>
  <si>
    <t>Rizka Novia Cahyani, Relations Manager @ Mobilkamu.com</t>
  </si>
  <si>
    <t>Elina Belova</t>
  </si>
  <si>
    <t>Power Mining</t>
  </si>
  <si>
    <t>https://linkedin.com/in/elina.belova</t>
  </si>
  <si>
    <r>
      <rPr>
        <b/>
        <sz val="10"/>
        <rFont val="Arial"/>
      </rPr>
      <t xml:space="preserve">About Carer
</t>
    </r>
    <r>
      <rPr>
        <sz val="10"/>
        <color rgb="FF000000"/>
        <rFont val="Arial"/>
      </rPr>
      <t xml:space="preserve">At Carer, we aim to help millions of caregivers globally receive adequate help and guidance when providing home care. We empower family caregivers to care for their loved ones easily with a mobile app that provides families a shared platform for tracking care, receiving personalised care tips and professional coaching, and having easy access to qualified nurses and caregivers for hire.
We are looking for a Mobile App Developer who is interested to join the founding team of our startup to solve the global healthcare problem. 
</t>
    </r>
    <r>
      <rPr>
        <b/>
        <sz val="10"/>
        <rFont val="Arial"/>
      </rPr>
      <t xml:space="preserve">Opportunities:
</t>
    </r>
    <r>
      <rPr>
        <sz val="10"/>
        <color rgb="FF000000"/>
        <rFont val="Arial"/>
      </rPr>
      <t xml:space="preserve">• Potential leadership role in the tech team 
• Be part of the founding team building a game-changing healthcare platform
</t>
    </r>
    <r>
      <rPr>
        <b/>
        <sz val="10"/>
        <rFont val="Arial"/>
      </rPr>
      <t xml:space="preserve">
Job Description:
</t>
    </r>
    <r>
      <rPr>
        <sz val="10"/>
        <color rgb="FF000000"/>
        <rFont val="Arial"/>
      </rPr>
      <t>• In-charge of the design, development, deployment and maintenance of our proprietary Carer mobile app 
• Work closely with our solution architect and back-end developers to enhance the features of our mobile app.
• Continuously find ways to improve and optimise the architecture, code and processes of our mobile app.
• Propose new features, functionality and ideas to improve the mobile app.
• Research on new technologies and make recommendations and decisions on the development methodologies and product architecture.
• Perform other relevant duties as assigned.</t>
    </r>
  </si>
  <si>
    <r>
      <rPr>
        <b/>
        <sz val="10"/>
        <rFont val="Arial"/>
      </rPr>
      <t xml:space="preserve">Requirements:
</t>
    </r>
    <r>
      <rPr>
        <sz val="10"/>
        <color rgb="FF000000"/>
        <rFont val="Arial"/>
      </rPr>
      <t xml:space="preserve">• At least 2 years of software development experience (mobile and/or web)
• Proficiency and experience in Ionic Framework 
• Proficiency and experience in Cordova Framework
• Preferably having strong knowledge of Javascript
• Preferably having good understanding of Computer Science concepts like database design, object-oriented design, APIs, etc. 
• Good attitude and keen on learning  
• Able to work independently and as a team player
</t>
    </r>
  </si>
  <si>
    <t>Sponsorship needed</t>
  </si>
  <si>
    <t>Carer</t>
  </si>
  <si>
    <t>Theadini</t>
  </si>
  <si>
    <t>www.carer.com.sg</t>
  </si>
  <si>
    <t>Strategy &amp; Operations Manager</t>
  </si>
  <si>
    <t>Seekmi</t>
  </si>
  <si>
    <t>https://www.linkedin.com/in/theadini-8a08b3106/</t>
  </si>
  <si>
    <t>hello@carer.com.sg</t>
  </si>
  <si>
    <t>BD and Partnerships, Ops, Data and analytics, HR, People, Talent</t>
  </si>
  <si>
    <t>no pass needed for working in Indonesia, need sponsorship &amp; working visa for other countries</t>
  </si>
  <si>
    <t>CTO, co-founder</t>
  </si>
  <si>
    <t>We're a reward-based, promoter-run, global digital marketing platform. 
 We're looking for a CTO who can take the lead in developing our platform from the technology side.</t>
  </si>
  <si>
    <t>You will need to have:
 - 5+ years in Full-stack development experience designing and building web services/applications with strong back-end experience
 - 1+ years of leading, hiring, mentoring engineers
 - proven track of portfolios
 - ability to work independently with ownership
 - strong communication skill in English</t>
  </si>
  <si>
    <t>cashmakrs</t>
  </si>
  <si>
    <t>Ye Lwin Soe</t>
  </si>
  <si>
    <t>digital marketing</t>
  </si>
  <si>
    <t>Frontend Engineer</t>
  </si>
  <si>
    <t>GrabJobs Pte Ltd</t>
  </si>
  <si>
    <t>Korea, Singapore, Indonesia, Vietnam, Thailand, Malaysia, Philippines, India, Sri Lanka</t>
  </si>
  <si>
    <t>https://www.linkedin.com/in/yelwinsoe/</t>
  </si>
  <si>
    <t>OYO Rooms Indonesia</t>
  </si>
  <si>
    <t>waymakrs.com</t>
  </si>
  <si>
    <t>leah@waymakrs.com</t>
  </si>
  <si>
    <t>Colleague @ GrabJobs</t>
  </si>
  <si>
    <t>Visa require</t>
  </si>
  <si>
    <t>Zen Lim</t>
  </si>
  <si>
    <t xml:space="preserve">Executive Assistant to C Suites and Senior Management </t>
  </si>
  <si>
    <t>http://linkedin.com/in/zen-lim-a54392100</t>
  </si>
  <si>
    <t>Exec team, HR, People, Talent</t>
  </si>
  <si>
    <t xml:space="preserve">Marita Abraham, CMO @ Zilingo </t>
  </si>
  <si>
    <t xml:space="preserve">Indi Davis, Head is Sustainability and Sophie Baillie, Head of Production at Zilingo </t>
  </si>
  <si>
    <t xml:space="preserve">Zen is one of the most competent people I have worked with and she been so amazing to us all. </t>
  </si>
  <si>
    <t xml:space="preserve">I am Singaporean </t>
  </si>
  <si>
    <t>Senior Technology Lead</t>
  </si>
  <si>
    <t>Rasika Soni</t>
  </si>
  <si>
    <t>Application Support Analyst</t>
  </si>
  <si>
    <t>Tech Mahindra Limited</t>
  </si>
  <si>
    <t>https://www.linkedin.com/in/rasikasoni/</t>
  </si>
  <si>
    <t xml:space="preserve">We are looking for an experienced Senior Technology Lead to join the AlphaLab Capital team in Singapore. You will be leading a team of talented Software Engineers and help architect the expansion of our technology infrastructure to support our rapidly growing business. You will also work closely with the CEO (who is our current tech lead) to develop a vision for what we need to build to support the growth of the business and recruit / develop the team you need to deliver that vision.
Key Responsibilities:
Lead and inspire the software engineer team that is responsible for delivering real-time trading systems and manage overall infrastructure
Design architecture and lead the team in implementation
Responsible for maintaining all technology metrics and quality of technical deliverables
Work closely with CEO and COO to ensuring alignment of business goals
Build and grow a successful software engineer team and be in charge of the quality of the team’s outcomes.
</t>
  </si>
  <si>
    <t>5 to 10+ years of experience leading engineering teams and/or technical architect role in high-frequency trading, fintech or similar small fast moving technology driven companies
Proven leadership and managerial capabilities building and leading a team of software engineers
Solid and hands on knowledge of using Python and C++ 
Excellent problem solving, interpersonal and communication skills
BS, MS, PhD in Computer Science, Engineering or Science etc</t>
  </si>
  <si>
    <t>AlphaLab Capital</t>
  </si>
  <si>
    <t>Software &amp; Technology</t>
  </si>
  <si>
    <t>Jayantika Soni CTO &amp; Co-founder @ Resync</t>
  </si>
  <si>
    <t>www.alphalab.capital</t>
  </si>
  <si>
    <t>I will be requiring visa for any other country except India (citizen) and United States (eligible for STEM-OPT)</t>
  </si>
  <si>
    <t>careers@alphalab.capital</t>
  </si>
  <si>
    <t>Firdaus Nejim Al-Asedi</t>
  </si>
  <si>
    <t xml:space="preserve">Lendela </t>
  </si>
  <si>
    <t>https://www.linkedin.com/in/firdaus-nejim-al-asedi-4044b212a/</t>
  </si>
  <si>
    <t xml:space="preserve">We are looking for a software engineer / quantitative developer who is hungry to learn and is looking for rapid career progression. 
Key Responsibilities:
Enhance and extend the infrastructure and underlying libraries and analytics on our platform; 
Collaborate with the team to understand, maintain, and improve our data management, research infrastructure and trading operations; 
Define, build and test exchange API connections to new markets using our existing platform and connections as a model and library;
Write reusable, testable, and efficient code; 
Deploy and monitor continuously running applications; 
Research and improve our core working infrastructure (GitHub, DevOps etc.) based on best practices
</t>
  </si>
  <si>
    <t>1-3 years of work experience in software development
Analytical mind with problem-solving attitude
Hands on experience implementing sizeable programming projects using first-class languages (Python, C++, Java)
Strong object-oriented programming skills and design patterns
Capable of delivering on multiple competing priorities with little supervision
Excellent verbal and written communication skills
Bachelor Degree (or higher) in Computer Science or equivalent</t>
  </si>
  <si>
    <t xml:space="preserve">Yeap Mei Yi, Founder@We Can Academy </t>
  </si>
  <si>
    <t>Trade Support Engineer</t>
  </si>
  <si>
    <t>None; holding a Malaysian passport</t>
  </si>
  <si>
    <t xml:space="preserve">We are currently looking for a Trade Support Engineer to join us in Singapore and provide support for our trading systems. You will work closely with our quantitative researchers and software engineers to monitor, maintain, mitigate and improve our coding, systems and infrastructure. 
Key Responsibilities: 
Identify problems &amp; do bug triage for both internal and external systems to identify and mitigate / escalate and then track them ensuring that the issues are fixed and eventually closed;
Monitor and ensure that trade logs are processed correctly and alerts are running;
Expand, monitor and upgrade the infrastructure by bringing up new boxes and making sure they are in the AL standard specification, expand existing trade servers when needed or move existing services around when appropriate;
Develop efficient systems to ensure that Git is healthy and the continuous integration (CI) system is working and the team can deploy quickly and easily;
Monitor, support, and develop tooling for our research computing cluster;
Support, expand, and develop real time dashboards for monitoring or interacting with our systems
</t>
  </si>
  <si>
    <t>Analytical mind and keen interest to detect and diagnose intensive, complex problems 
Hands on experience implementing sizeable programming projects using first-class languages such as C++, Java, Python 
Capable of delivering on multiple competing priorities with little supervision
Excellent verbal and written communication skills
Prior work experience in trade support, trade monitoring in high frequency trading environment
Good understanding of algorithmic trading technology, architecture, infrastracture, hardware and software 
Bachelor Degree (or higher) in Science, Engineering, Computing or equivalent</t>
  </si>
  <si>
    <t>Stuart Buyers</t>
  </si>
  <si>
    <t>Expansion Lead</t>
  </si>
  <si>
    <t>https://www.linkedin.com/in/stuartbuyers/</t>
  </si>
  <si>
    <t>Avik Ashar - Head of B2B</t>
  </si>
  <si>
    <t>Quantitative Researcher</t>
  </si>
  <si>
    <t>We are currently looking for an exceptional quantitative researcher to join our team, conduct creative research and impact our trading strategies. 
Key responsibilities: 
Design and develop production code of trading strategies: core algorithms, models, execution logic, performance optimization and monitoring; 
Implement frameworks for developing, validating and testing trading strategies; 
Advance existing initiatives and explore opportunities for new research topics; 
Drive technical innovation within the team through the evaluation of new tools and technologies</t>
  </si>
  <si>
    <t>2-5 years of prior experience in a quantitative role within a trading environment or experience applying advanced quantitative techniques 
Passion for solving complex and data intensive problems  
Capable of delivering on multiple competing priorities with little supervision
Strong proficiency in programming languages C++ and/or Python
Bachelors, Masters or PhD in a technical field from top-tier universities such as Physics, Mathematics, Statistics, Engineering, Computer Science or equivalent</t>
  </si>
  <si>
    <t>https://www.linkedin.com/in/sandralimsg/</t>
  </si>
  <si>
    <t>Software Engineer Intern</t>
  </si>
  <si>
    <t>The Software Engineering Intern will be working with our team of engineers to design, build, and deploy solutions to support our trading systems and business operations. This is a unique opportunity to experience life at a fast-paced startup firm in the highly competitive world of quantitative trading, to be mentored directly by senior leaders, and to contribute substantially to our business.</t>
  </si>
  <si>
    <t xml:space="preserve">The ideal intern will be currently pursuing a degree in Computer Science, Computer Engineering or relevant subject from a top-tier university with good knowledge of programming tools such as Python or C++. Strong communication skills and willingness to learn will be desirable. This internship can be from 3 months to 6 months. The successful intern will be provided with a monthly allowance during the duration of the internship. </t>
  </si>
  <si>
    <t>Logan Tan, CEO @ Eezee.sg</t>
  </si>
  <si>
    <t>Logan Tan, CEO</t>
  </si>
  <si>
    <t xml:space="preserve">Beyond that, Sandra is inspired by challenges and never intimidated by them. It takes someone of a huge leap of faith and courage to join a start-up after an extended period at Mediacorp. This clearly shows that she’s always up for challenges and have adapted well to the company. </t>
  </si>
  <si>
    <t>None. Singaporean</t>
  </si>
  <si>
    <t>Winnie Lim</t>
  </si>
  <si>
    <t>Recruiter</t>
  </si>
  <si>
    <t>https://www.linkedin.com/in/winnie-lim-b7802752/</t>
  </si>
  <si>
    <t>Business Development Manager/Executives</t>
  </si>
  <si>
    <t>Are you passionate about disrupting a rapidly changing industry? Do you love to win new business and exceed objectives? Are you excited about working in a startup environment for one of the most successful brands in the motorcycles online space? If you are looking for autonomy, ownership and an environment where you can innovate this may be for you!
 iMotorbike is the world’s #1 motorbike online classified-ads E-commerce website in South East Asia, providing a fast, secure and trouble-free online experience with a wide variety of product range, setting itself apart from what exists in the market.
 As a Business Development Manager you will unlock new business possibilities for partners and customers. The successful candidate will take full ownership of the account management and business development aspect. You will have lots of fun!
 iM.Owning’it
 · Fully embrace the account management and business development aspects
 · Ownership of building industry landscape, go-to-market strategy, and partner relationships and assist with long-term vision
 · Identify potential opportunities and drive this from idea to implementation
 · Core contributor of business development execution and strategy, develop hypothesis for business &amp; revenue models
 · Conquer a new vertical and impact our stunning audience.
 iM.Responsible
 · Facilitate the learning process for the new vertical through reports, industry analysis, etc
 · Identify key players in the value chain including competitors and their roles in the value chain for a B2B relationship
 · Build and develop key relationships
 · Identify product fit and quality support on commercial potential with partners
 · Create and implement a go-to-market strategy
 · Identify certain segments and guide where are the opportunities, where we should go, and what incentives we should be offering</t>
  </si>
  <si>
    <t>- 2+ years of relevant experience preferably in e-commerce / retail. 
 - Solid hands-on experience in sales and customer engagment
 - Analytical, numerate and proficient in Excel
 - Familiar and fluent with CRM platforms and tools e.g. Salesforce 
 - Proficiency in Mandarin, Bahasa Malaysia
 - A self-starter, proactive and hands-on approach. Get it done right, and fast!
 - A great storyteller with a strong consumer instinct
 - Diligent in execution and able to think critically
 - Able to handle data and relate them to qualitative aspects of work
 - Strong communication skills to influence stakeholders</t>
  </si>
  <si>
    <t>iMotorbike</t>
  </si>
  <si>
    <t>Marketplace, Ecommerce</t>
  </si>
  <si>
    <t>www.imotorbike.my</t>
  </si>
  <si>
    <t xml:space="preserve">Zen Lim, EA @ Zilingo Pte Ltd </t>
  </si>
  <si>
    <t xml:space="preserve">Benjamin Toh, HR Executive </t>
  </si>
  <si>
    <t>Robert Hodges</t>
  </si>
  <si>
    <t>Founder and Managing Director</t>
  </si>
  <si>
    <t>Proficio Consulting</t>
  </si>
  <si>
    <t>hr@imotorbike.com</t>
  </si>
  <si>
    <t>https://www.linkedin.com/in/robert-l-hodges-9997039?lipi=urn%3Ali%3Apage%3Ad_flagship3_profile_view_base_contact_details%3Be7KffeNPSbOlkVKUiNx7%2Fw%3D%3D</t>
  </si>
  <si>
    <t>IMD Global Services</t>
  </si>
  <si>
    <t xml:space="preserve">Lead and drive the architectural design, development framework and implementation of our blockchain initiative.
Architect the integration of the blockchain across all integration touchpoints i.e web/mobile/API.
Lead, mentor, align and focus the blockchain developers for the development of high-quality blockchain code developed for extensibility, scalability, and redundancy.
Write smart contracts using Solidity, Web3.js
</t>
  </si>
  <si>
    <t>Experience in development, testing, release, support and maintenance activities of internal/external web applications using Go, Node.js, Express, HTML, CSS &amp; jQuery, AngularJS/2</t>
  </si>
  <si>
    <t>Analytrix</t>
  </si>
  <si>
    <t>Blockchain</t>
  </si>
  <si>
    <t>Grateful</t>
  </si>
  <si>
    <t>Kenji Tan, Founder Ultimo Uno</t>
  </si>
  <si>
    <t>https://www.wantedly.com/projects/448576</t>
  </si>
  <si>
    <t>Rob has direct experience in developing and commercialising a molecular diagnostics platform.  Initially within an MNC and then as COO of a molecular diagnostics company.  He has expertise in product development, validation, regulatory, and commercialisation and managed the P&amp;L for the company.  He also performed due diligence on companies and had due diligence performed on his company.  He is a natural leader that people are drawn to and believe in.</t>
  </si>
  <si>
    <t>I have an Employment Pass (EP) in Singapore.</t>
  </si>
  <si>
    <t>Nicolas De Clercq</t>
  </si>
  <si>
    <t>Legal Counsel / UX Researcher / Partnership Manager</t>
  </si>
  <si>
    <t>www.lightful.com</t>
  </si>
  <si>
    <t>Apply through link</t>
  </si>
  <si>
    <t>https://www.linkedin.com/in/ndclercq/</t>
  </si>
  <si>
    <t>Front Desk Officer</t>
  </si>
  <si>
    <t xml:space="preserve">-Assisting with corporate sales
-Assisting with B2B and B2C marketing
-Managing Front Desk and Concierge service operations
-Oversee operations including housekeeping representatives
</t>
  </si>
  <si>
    <t>Entry Level</t>
  </si>
  <si>
    <t>Triple 2 Studio</t>
  </si>
  <si>
    <t>Hospitality</t>
  </si>
  <si>
    <t>https://www.wantedly.com/projects/448462</t>
  </si>
  <si>
    <t>BD and Partnerships, Product, Ops, Design</t>
  </si>
  <si>
    <t>Home Credit Indonesia</t>
  </si>
  <si>
    <t>Fuad Suffian Bin Abdul Majid</t>
  </si>
  <si>
    <t>Specialist General Accounting – External Consultant</t>
  </si>
  <si>
    <t>Resources Global Professionals (Singapore) Ptd Ltd (RGP)</t>
  </si>
  <si>
    <t>https://www.linkedin.com/in/fuad-suffian-abdul-majid-0a655a133/</t>
  </si>
  <si>
    <t>Marketing and Design Lead</t>
  </si>
  <si>
    <t xml:space="preserve">We are looking for a Marketing Lead who can lead all aspects of digital media and marketing and help us develop and execute an online marketing strategy to achieve goals based on the brand’s business objectives across our B2C, B2B and retail store channels.
</t>
  </si>
  <si>
    <t>Our ideal candidate is obsessed with analytics and tracking ROI. They must be able to develop a strategy, allocate budgets and execute campaigns that drive traffic to our online channels to boost sales and build brand awareness. We are looking for someone with a successful track record in digital campaign development, who is willing to dive in and take charge of the brand’s online presence.</t>
  </si>
  <si>
    <t>Hook Coffee</t>
  </si>
  <si>
    <t>Food and Beverage</t>
  </si>
  <si>
    <t>Rilla, P&amp;O Manager @ Omnilytics</t>
  </si>
  <si>
    <t>Mohd Zaim Bin Ramli</t>
  </si>
  <si>
    <t>https://www.wantedly.com/projects/447120</t>
  </si>
  <si>
    <t>Chaitali Dutt</t>
  </si>
  <si>
    <t>Regional Quality Manager</t>
  </si>
  <si>
    <t>https://www.linkedin.com/in/chaitali-dutt-2b145aa/</t>
  </si>
  <si>
    <t>EP/DP</t>
  </si>
  <si>
    <t>Luqmana rusydy kemashadi</t>
  </si>
  <si>
    <t>backend engineer</t>
  </si>
  <si>
    <t>Hara Token</t>
  </si>
  <si>
    <t>https://www.linkedin.com/mwlite/in/luqmana-kemashadi</t>
  </si>
  <si>
    <t xml:space="preserve">- Identify prospects within the relevant market and use market knowledge to acquire new clients
- Responsible for the success of delivering asset management products and services to clients
- Cultivate and maintain trusting long-term relationships with new and existing clients
- To contribute towards the development of the business, leverage a deep understanding and knowledge of services, discretionary portfolio management, investment advice and family wealth planning,
</t>
  </si>
  <si>
    <t xml:space="preserve">- Minimum 3 Years Of Sales experience
- Good working knowledge of banking products and services
- Strong communication and interpersonal skills
- The candidate must have a solid track record of sales preferably in the HNW space
- Advanced Microsoft Office (Word, Excel, PowerPoint)
- The ability to excel under pressure amid demanding deadlines
- A high level of energy and a keen desire to learn new concepts
- Good command of written and spoken English, fluency in English and Mandarin.
</t>
  </si>
  <si>
    <t>Kredens Capital</t>
  </si>
  <si>
    <t>Alfa Pramudita, Team Lead @ Hara Token</t>
  </si>
  <si>
    <t>https://www.wantedly.com/projects/447079</t>
  </si>
  <si>
    <t>Wedar Gusaptianto</t>
  </si>
  <si>
    <t>Universitas Pancasila</t>
  </si>
  <si>
    <t>WedarGusaptianto</t>
  </si>
  <si>
    <t>Ridzi Hafiz</t>
  </si>
  <si>
    <t xml:space="preserve">Dimas Aryo </t>
  </si>
  <si>
    <t>Need apply visa for work overseas</t>
  </si>
  <si>
    <t>Sanjida Akter</t>
  </si>
  <si>
    <t>Country Lead (Bangladesh)</t>
  </si>
  <si>
    <t>Young Founders School</t>
  </si>
  <si>
    <t>https://www.linkedin.com/in/sanjidatanny/</t>
  </si>
  <si>
    <t>Bangladesh</t>
  </si>
  <si>
    <t>Former colleague - Andee Chua, Singapore Lead from YFS</t>
  </si>
  <si>
    <t>Andee Chua - Singapore Lead, Young Founders School and Jeff Hui - COO, Young Founders School</t>
  </si>
  <si>
    <t>YFS has been a very lean team which allowed us to work very closely from different locations. As we are all spread across in different parts of Asia, it has allowed us to understand the challenges of each location and come out with possible solutions that helped them company. For as long as we were together, we were the best team in the world (literally)!</t>
  </si>
  <si>
    <t>Aditya Talwar</t>
  </si>
  <si>
    <t>Case Team Assistant</t>
  </si>
  <si>
    <t>Boston Consulting Group</t>
  </si>
  <si>
    <t>https://www.linkedin.com/in/aditya-talwar-4a9724147/</t>
  </si>
  <si>
    <t>Quantity Surveyor</t>
  </si>
  <si>
    <t>• Evaluate tenders, cost estimates, manage contracts and advice on contract matters
• Provide input and feedback on the bid proposal and conduct win/loss analysis
• Ensure all estimates provided are at a competitive level
• Preparing and agreeing payments applications/valuations in accordance with the terms of the contract conditions
• Prepare and compile claim document to align with Engineer(s)
• Analyse and suggest subcontract payment application based on actual progress of subcontractor work
• Monitor site progress and prepare claim against Value of Work done
• Prepare technical proposal and cost estimation for project tenders
• Source for local/overseas suppliers, fabricators &amp; subcontractors; Prepare LOA of suppliers and subcontractors
• Identify execution and technical risks and work closely with relevant personnel to prepare mitigation strategies
• Develop, review and monitor the compliance of tender and contracts policy and guidelines, in line with the industry best practice
• Ad Hoc duties as assigned</t>
  </si>
  <si>
    <t>Ajinkya Chougule</t>
  </si>
  <si>
    <t xml:space="preserve">• Minimum Diploma in Quantity Surveying / Building or any relevant fields
• Minimum 3 Year(s) experience in Quantity Survey (M&amp;E Projects)
• Able to read construction, architectural and engineering drawings
• Able to interpret drawings for costing and estimation
• Bilingual in Mandarin and English to liaise with Mandarin speaking associate
• We are looking for Singaporeans/PR ideally
</t>
  </si>
  <si>
    <t>PHP Engineering</t>
  </si>
  <si>
    <t xml:space="preserve">Require an EP </t>
  </si>
  <si>
    <t>Anita Winata</t>
  </si>
  <si>
    <t>https://www.wantedly.com/projects/440889</t>
  </si>
  <si>
    <t>Marketing Specialist</t>
  </si>
  <si>
    <t>Unilever Indonesia</t>
  </si>
  <si>
    <t>https://www.linkedin.com/in/anitawinata</t>
  </si>
  <si>
    <t>Marketing, BD and Partnerships, Ops, Data and analytics, HR, People, Talent</t>
  </si>
  <si>
    <t>Friends</t>
  </si>
  <si>
    <t>agile, quick response, humble, persistent</t>
  </si>
  <si>
    <t>Cinta Nastasya</t>
  </si>
  <si>
    <t>PT. Mitra Adiperkasa Tbk</t>
  </si>
  <si>
    <t>https://www.linkedin.com/in/cinta-nastasya-475207101/</t>
  </si>
  <si>
    <t>Linkedln</t>
  </si>
  <si>
    <t>Fischa Diras, Marketing Manager Fashion at PT. Mitra Adiperkasa Tbk</t>
  </si>
  <si>
    <t>Fischa is very transparent by communicating less over email and through third-party communication, and become more personally engaged with her teams via face-to-face and/or video interaction and with greater frequency.   This will not only build trust, but more importantly set-forth a precedent that will transcend through team(s)</t>
  </si>
  <si>
    <t>• Examine and assess economic and market trends, earnings prospects, financial statements, and various other indicators and factors on the basis of company investment strategies;
• Drafting and writing research reports for Fund using;
• Financial modelling and projection;
• Assist the team to draft other internal material;
• Assist the senior staff to manage deal flow and arrange project meeting.</t>
  </si>
  <si>
    <t>• Degree in finance, mathematics, statistics, business or technology related degree from a recognized university.</t>
  </si>
  <si>
    <t>Jubilee Capital Management</t>
  </si>
  <si>
    <t>https://www.wantedly.com/projects/441030</t>
  </si>
  <si>
    <t>Iman Azmi</t>
  </si>
  <si>
    <t>Videographer</t>
  </si>
  <si>
    <t>Hellogold Sdn Bhd</t>
  </si>
  <si>
    <t>https://www.linkedin.com/in/iman-azmi-246638167/</t>
  </si>
  <si>
    <t>Robin, CEO @ Hellogold</t>
  </si>
  <si>
    <t>William Chien - Art Director</t>
  </si>
  <si>
    <t>Iman approaches each task with a high level of confidence, but he also understands the importance of following explicit orders to make a production successful.</t>
  </si>
  <si>
    <t>afdisa varma</t>
  </si>
  <si>
    <t>Sales (Bank and fintech product)</t>
  </si>
  <si>
    <t>https://www.linkedin.com/in/afdisavarma/</t>
  </si>
  <si>
    <t>Develop, implement and test components from functional specifications
Manage JIRA requests and participate in discussions on technical and architectural issues
Ensure integration of new tool with existing enterprise application ecosystem of the bank
Participate in analyzing, resolving and providing technical support escalated to the team
Draft specifications, technical design, unit tests, code reviews and detailed system integration documents and any other documents as required during the project lifecycle
Contribute to maintaining a high standard of delivery quality.</t>
  </si>
  <si>
    <t>University degree in Computer Science or related field, or equivalent work experience
Around 5 years of experience in web and stand-alone application design &amp; development with Java 11.x/JEE technologies in Unix environments
Excellent knowledge and experience with Spring framework, Spring Boot 2.x, Spring Cloud and Microservices architecture is a must
Good knowledge and experience with AWS preferred
Strong understanding of Relational Database and SQL
Practical knowledge on Jenkins, Maven, Ansible, GIT
Very good understanding of application system design, development, testing, deployment and maintenance.
An insatiable passion for development
Excellent communication skills.</t>
  </si>
  <si>
    <t>Amaris</t>
  </si>
  <si>
    <t>Tech Consulting</t>
  </si>
  <si>
    <t>Sales, BD and Partnerships, Finance</t>
  </si>
  <si>
    <t>https://www.wantedly.com/projects/439460</t>
  </si>
  <si>
    <t>Deliveroo</t>
  </si>
  <si>
    <t>Riki kusnadi @owox</t>
  </si>
  <si>
    <t>Riki A. Kusnadi - Customer succes manager</t>
  </si>
  <si>
    <t>She is the one who tirelessly strive to be the best, always curious to ask something new, have a big dream and never compromise with quality of work that she was given to her company (Bank Sahabat Sampoerna)</t>
  </si>
  <si>
    <t>Mohammad Shaban</t>
  </si>
  <si>
    <t>backend and mobile</t>
  </si>
  <si>
    <t>Safeguards G4S SDN BHD</t>
  </si>
  <si>
    <t>https://www.linkedin.com/in/mohammad-shaban-923032101/</t>
  </si>
  <si>
    <t>found you through facebook comment</t>
  </si>
  <si>
    <t>Muhammad Haekal Sena Akbar</t>
  </si>
  <si>
    <t>Digital Marketing Executive</t>
  </si>
  <si>
    <t>Glints Indoensia</t>
  </si>
  <si>
    <t>https://www.linkedin.com/in/muhammad-haekal-sena-akbar/</t>
  </si>
  <si>
    <t>QC Specialist</t>
  </si>
  <si>
    <t xml:space="preserve">What You'll Be Doing:
- Writes required GMP documentations such as SOPs, protocols, reports, deviations, change controls, OOS
- Liaising with different departments to coordinate tasks and actions
- Review and approve routine laboratory results eg. environmental monitoring, endotoxin test, sterility by membrane filtration
</t>
  </si>
  <si>
    <t>Who We're Looking For:
- Science degree in Life sciences, biotechnology, biochemistry, microbiology or equivalent with &gt;2 years of experience in lab in a pharma industry
Or Diploma holders with &gt;5 years of experience in a lab in a pharma industry
- Have previous working experience in cGMP laboratory environment
- Have experience in coordinating with different teams or eager to do so
- Have experience in writing deviations
- Have hands-on experience on environmental monitoring</t>
  </si>
  <si>
    <t>https://www.wantedly.com/projects/439410</t>
  </si>
  <si>
    <t>Vania Margonoharto, Creative Lead @ Otten Coffee Indonesia</t>
  </si>
  <si>
    <t>hafiidh rhyvan kusmaja</t>
  </si>
  <si>
    <t xml:space="preserve">engineer (IT support,network engineer jr) </t>
  </si>
  <si>
    <t>PT.Visionet Data International</t>
  </si>
  <si>
    <t>oktavia deny, IT manager @ovo.co.id</t>
  </si>
  <si>
    <t>denny</t>
  </si>
  <si>
    <t>mirza : from zero to hero</t>
  </si>
  <si>
    <t>no</t>
  </si>
  <si>
    <t>Deepan Manohar Manoharan</t>
  </si>
  <si>
    <t>Piktochart Sdn Bhd</t>
  </si>
  <si>
    <t>https://www.linkedin.com/in/deepanmanohar/</t>
  </si>
  <si>
    <t xml:space="preserve">What You'll be Doing:
Contribute in the overall platform’s infrastructure and associated systems in terms of performance, availability, scalability and security;
Building automated delivery pipelines (CI/CD, Docker)
Experience with Cloud platform (Azure, AWS or GCP)
Handle application release management, infrastructure provisioning and deployment
Monitor and report on the Production platform
Analyse log files and identify root causes for Infrastructure or Application problems
Collaborate with internal teams and strategic vendors to implement fixes in Production
Pro-actively identify improvements
</t>
  </si>
  <si>
    <t>Who We're Looking For:
Bachelor’s Degree required (Computer Science, Engineering or related degree)
Relevant experience in designing, building and managing application platform AWS
Experience in Linux configuration and administration
Have a strong understanding of IT infra and security implantation
Excellent communication skill
Scripting skills in PowerShell, BASH, Python, or Ruby
Passion for Automation</t>
  </si>
  <si>
    <t>https://www.wantedly.com/projects/439476</t>
  </si>
  <si>
    <t>Shee Dee Quah (HR Manager) @ Piktochart</t>
  </si>
  <si>
    <t>Ai Ching (CEO of Piktochart)</t>
  </si>
  <si>
    <t>Require Sponsorship</t>
  </si>
  <si>
    <t>Adhika Lim</t>
  </si>
  <si>
    <t xml:space="preserve">Tech &amp; BizOps Manager </t>
  </si>
  <si>
    <t>https://www.linkedin.com/in/adhikalim/</t>
  </si>
  <si>
    <t>Reinard Djajadikerta</t>
  </si>
  <si>
    <t>Product Manager / IT Consultant</t>
  </si>
  <si>
    <t>Tokopedia, PwC</t>
  </si>
  <si>
    <t>https://www.linkedin.com/in/reinard-djajadikerta/</t>
  </si>
  <si>
    <t>Senior Network Engineer</t>
  </si>
  <si>
    <t xml:space="preserve">What You'll Be Doing:
Install, configure, validate and deploy new IP products and services in the IPTV IP infrastructure
Maintain and Troubleshoot network equipment like Routers, Switches, Firewalls IPTV Network environment
Perform scheduled configuration changes to network switches, routers and firewalls
Conduct documentation and actual equipment IP configuration walk-through with customer and present key concepts/messages to customers as a team lead
Prepare detailed MOP (Method Of Procedure) documents for planned network changes in customer platform, follow the document through internal and customer approval process
Execute MOPs on customer platform during designated maintenance windows (including night time if required)
Review and authoring of other technical documentation like User Acceptance Test and Operational document, LLD documents and network diagrams
Troubleshoot, diagnose, and perform corrective maintenance actions on issues reported by customers. Provide in depth investigation of critical escalated issues
Track and capture updates of issues in a ticketing system
Contributes and shares all documents using centralized documentation tools like Sharepoint
Maintain high level of customer satisfaction by providing services fully compliant with the SLA
Create and maintain customer relationship on a day-to-day basis, e.g., communication, information gathering, operational review, escalation and reporting. Provide appropriate follow-up to customers
Collaborate with different product vendors to engage them in additional support in order to resolve the issues
Create working documents to detail configuration and using script or tools to improve work-flow and automation, if possible.
</t>
  </si>
  <si>
    <t>Who We're Looking For:
Bachelor in Telecom/Data/Computer Networking Engineering or equivalent
7 to 10 years of experiences in designing or implementing IP/MPLS networks and/or IP projects.
Good knowledge and strong background in IP technologies, Data Communication, LAN, WAN, MPLS and VPN services.
Good knowledge of Multicast network is a must.
IP Certification and Multi-vendor IOT experiences is advantage.
Strong troubleshooting, problem solving skills and working experiences on test equipments.
Clearly communicate (verbal and written) in English.
Self-motivated and self-development/learning.
Comfortable to meet and discuss solutioning/technology and technical escalation (network outage and resolution) with senior management in both company and customers
Able to manage activities under high pressure and critical deadlines.
Able to handle several important tasks at the same time.
Able to look at different factors and prioritize tasks and at times, work during customers' maintenance window periods
Possess strong customer management relation skills and able to develop and maintain the strong relationships within the organization and with Customers.
Additional optional skills or experience:
IP Video delivery experience is of a great advantage (IPTV/OTT/CDN/Broadcast)
Experience with server hardware, preferably both blades and rack mounted servers but not limited to HP DL* and BL* series, EVA, 3PAR.
Experience in Microsoft Windows Server, Microsoft SQL Server, SCCM, SCOM, Windows networking.
Understanding of High availability technologies: network redundancy, server clustering, RAID
Know-how on scripting technologies or coding experience is an advantage. Powershell is preferred.
Know-how on virtualization technologies, preferably Hyper-V.</t>
  </si>
  <si>
    <t>https://www.wantedly.com/projects/439479</t>
  </si>
  <si>
    <t>BD and Partnerships, Engineering, Product, Finance, Data and analytics</t>
  </si>
  <si>
    <t>Amiel Shanan</t>
  </si>
  <si>
    <t>Oki Mulawarman (PwC Senior Manager), Esther Sew (Consultant @ DHL IT Services)</t>
  </si>
  <si>
    <t>Oki (PwC): Reinard is one of the brightest talent I've ever worked with. He also has a very good work ethic, great curiosity and willingness to learn new things. To add, his ownership on tasks given to him is excellent. Esther (DHL IT Services): Reinard is committed and passionate in his consulting role. Below is his strong skills: •Strong in trouble shooting •Analytical skills •Good team player •Agile mindset and flexible •Experience on big program involves multiple applications cross many applications with complex integrations</t>
  </si>
  <si>
    <t>Indonesian, worked in Malaysia (3yrs). Also willing to work in Singapore (need EP).</t>
  </si>
  <si>
    <t>Yusuf Hadi</t>
  </si>
  <si>
    <t>Accounts Payable Specialist</t>
  </si>
  <si>
    <t>trivago</t>
  </si>
  <si>
    <t>https://www.linkedin.com/in/yusuf-hadi-902a8b12a/</t>
  </si>
  <si>
    <t>Dinda Calista, Data Analyst @ trivago</t>
  </si>
  <si>
    <t>Dinda Calista, Data Analyst</t>
  </si>
  <si>
    <t xml:space="preserve">Yusuf sets himself as good example, which means he is responsible and diligent before the eyes of his colleagues. They pa great respect and follow his guidance. </t>
  </si>
  <si>
    <t>Lius Steven Sanjaya</t>
  </si>
  <si>
    <t>Bizzy Indonesia</t>
  </si>
  <si>
    <t>https://www.linkedin.com/in/liusstevens/</t>
  </si>
  <si>
    <t>Copywriter/Senior Copywriter</t>
  </si>
  <si>
    <t>Developing awesome, kick-ass copy for our clients who comprise mostly global brands</t>
  </si>
  <si>
    <t>min. 2-4 years of experience working in an agency/marketing-related field</t>
  </si>
  <si>
    <t>PROTOCOL</t>
  </si>
  <si>
    <t>www.protocol.com.sg</t>
  </si>
  <si>
    <t>Tan Yan</t>
  </si>
  <si>
    <t>Community Associate (Marketing)</t>
  </si>
  <si>
    <t>Klook</t>
  </si>
  <si>
    <t>https://www.linkedin.com/in/me-yantan/</t>
  </si>
  <si>
    <t>Joyce Gan, Communication &amp; Marketing @ Klook</t>
  </si>
  <si>
    <t>Audrey Mah, Community Lead</t>
  </si>
  <si>
    <t>Yan has good initiative to learn and pick up new things, possesses high and good ownership in all tasks and projects given to her, and knows how to use and analyse market and business data. She is also a good team player.</t>
  </si>
  <si>
    <t>Nisha Yusof</t>
  </si>
  <si>
    <t>Senior Manager - Business Development | Talent Acquisition | People Management &amp; HR Operations</t>
  </si>
  <si>
    <t>Amaris Consulting (Malaysia)</t>
  </si>
  <si>
    <t>https://www.linkedin.com/in/nisha-yusof-4167aa134/</t>
  </si>
  <si>
    <t>Sales, BD and Partnerships, Ops, HR, People, Talent</t>
  </si>
  <si>
    <t>From Linkedin</t>
  </si>
  <si>
    <t>Khairunnisa Sekar Arumsari</t>
  </si>
  <si>
    <t>HR Specialist</t>
  </si>
  <si>
    <t>Marimakan (PT. Kuliner Awan Bangsa)</t>
  </si>
  <si>
    <t>https://www.linkedin.com/in/sekarksa</t>
  </si>
  <si>
    <t>Account Manager/Senior Account Manager</t>
  </si>
  <si>
    <t>Client Servicing work for our global brand portfolio. Advertising + social content</t>
  </si>
  <si>
    <t>min. 2-4 years of experience wokring in an agency/marketing-related field</t>
  </si>
  <si>
    <t>Marketing, BD and Partnerships, HR, People, Talent</t>
  </si>
  <si>
    <t>Niken Edgina, Operations Manager of Dojo Bali (I was working with her back when she ran her own startup)</t>
  </si>
  <si>
    <t>Jenn Ngan Ye Sing</t>
  </si>
  <si>
    <t>Event Manager / Office Manager</t>
  </si>
  <si>
    <t>Red Bull Product of Europe</t>
  </si>
  <si>
    <t>https://www.linkedin.com/in/jennngan/</t>
  </si>
  <si>
    <t xml:space="preserve">ZONE ARCHITECT </t>
  </si>
  <si>
    <t>Ling Fei Wen @ CAA Eleven</t>
  </si>
  <si>
    <t>Jonathan Lee, National On Premise Manager</t>
  </si>
  <si>
    <t>Jenn is a highly passionate and responsible individual who started off her journey in Red Bull as a Wings Team Member. She is a natural born leader who is never afraid to speak her mind and challenge the status quo. But is also able to take constructive criticism and adapt quickly on the job, making her a great co-pilot to work with.</t>
  </si>
  <si>
    <t>Sabila Rasyad</t>
  </si>
  <si>
    <t>Senior Creative Designer</t>
  </si>
  <si>
    <t>Ultravoucher</t>
  </si>
  <si>
    <t>https://www.linkedin.com/in/sabila-rasyad-542b7215b/</t>
  </si>
  <si>
    <t>Art Director/Creative Designer</t>
  </si>
  <si>
    <t xml:space="preserve">Design &amp; art direction for advertising, digital and social media content. </t>
  </si>
  <si>
    <t>min. 1-3 years of experience wokring in an design-related field</t>
  </si>
  <si>
    <t>Nadine Astari, Culture @ tiket.com</t>
  </si>
  <si>
    <t>Sanphat Wangkachonkiat</t>
  </si>
  <si>
    <t>Senior Risk Management Analyst</t>
  </si>
  <si>
    <t>Minor International</t>
  </si>
  <si>
    <t>https://linkedin.com/in/sanphatw</t>
  </si>
  <si>
    <t>Category Manager</t>
  </si>
  <si>
    <t>BD and Partnerships, Product, Finance, Ops, Data and analytics</t>
  </si>
  <si>
    <t>• Oversee category, campaign and growth management matters of welovesupermom.com 
 • Responsible for merchant sourcing, negotiation and management 
 • Responsible for deals management with a focus on top category, brands and products that drive 80% of ecommerce revenue 
 • Responsible for overall campaign promotion &amp; management 
 • Attend face to face merchant meeting to understand business models, key product USPs and consultatively pitch our E-commerce Platform
 • Negotiate with merchants for the best brands and deals to be presented on our e-commerce platform
 • Acquire new merchants onboard and build relationships/partnerships with merchants to achieve win-win partnerships 
 • Liaise with marketing team to plan out strategic marketing campaigns for platform and brands 
 • Keep abreast of the market and industry situation and competitor activities in order to revise and develop new strategies to meet market changes and merchant requirements. 
 • Develop and maintain a solid understanding of all products and services that welovesupermom.com offers
 • Work closely with the merchant operations team and other departments to ensure maximum merchant participation success and long-term commitment 
 • Achieve GMV targets collectively as a team and grow net quality earning over time</t>
  </si>
  <si>
    <t>• At least 3 to 4 years experience in category management for an online platform or retailer organisation 
 • University graduate or higher education in business or relevant fields 
 • Excellent communication skills in both written and spoken English 
 • Microsoft Office skills are required (MS. Excel, MS. Word and MS. Powerpoint) 
 • A target-driven and natural go-getter with a positive, hardworking attitude 
 • A strong team player but also able to work independently 
 • Ability to build good relationships with merchants and match merchant needs and organization resources to grow welovesupermom.com 
 • Energetic, enthusiastic and calm even in very dynamic and fast pace working condition
 • Excellent time management and communication skills with excellent leadership skills
 • Strong interest in developing your experience in e-commerce and sales</t>
  </si>
  <si>
    <t>Giraffe Consulting Asia Pte Ltd</t>
  </si>
  <si>
    <t>Yau Wei Lim (Helen)</t>
  </si>
  <si>
    <t>Plastics Application Engineer</t>
  </si>
  <si>
    <t>Silberline</t>
  </si>
  <si>
    <t>welovesupermom.com</t>
  </si>
  <si>
    <t>https://www.linkedin.com/in/limhelen/</t>
  </si>
  <si>
    <t>Marketing, Sales, BD and Partnerships, Engineering, Product, Ops, Data and analytics, Design</t>
  </si>
  <si>
    <t>Amiel Shanan, Operations Improvement Manager@Alterra</t>
  </si>
  <si>
    <t>She has good business acument and research analysis skills. She is reliable and is willing to help others without hesitation.</t>
  </si>
  <si>
    <t>Nasuha Ali Sobari</t>
  </si>
  <si>
    <t>Busines Promotion &amp; Campaign</t>
  </si>
  <si>
    <t>PT. Otten Coffee Indonesia</t>
  </si>
  <si>
    <t>https://www.linkedin.com/in/nasuhaalii/</t>
  </si>
  <si>
    <t>info@riseandshine-expo.com</t>
  </si>
  <si>
    <t>Vania Margonoharto, Creative Lead @ Otten Coffee</t>
  </si>
  <si>
    <t>Yudhi Yogaswara</t>
  </si>
  <si>
    <t>Head of Transformation</t>
  </si>
  <si>
    <t>https://www.linkedin.com/in/yudhi-yogaswara-8454021b/</t>
  </si>
  <si>
    <t>Rizki Yogaswara, Technology People &amp; Capabilities Partner @ DKATALIS</t>
  </si>
  <si>
    <t>Rangarajan Rajagopalan</t>
  </si>
  <si>
    <t>Network Manager (Business Process Specialist) - Freight Forwarding</t>
  </si>
  <si>
    <t>Rhenus Logistics Asia Pacific Pte Ltd</t>
  </si>
  <si>
    <t>https://www.linkedin.com/in/rangarajan-rajagopalan/</t>
  </si>
  <si>
    <t>Ecommerce Experience Specialist</t>
  </si>
  <si>
    <t>• Onboard the merchants confirmed by the merchant acquisition team in the shortest and quickest time possible 
 • Ensure delivery of world-class service and timely resolution of any issues facing our new and existing merchant partners 
 • Be accountable for merchant store operations and merchant communications after taking over account from the category management team 
 • Build trust and relationships with merchant partners by handling inquiries and troubleshoot support in a timely and effective fashion
 • Liaise with merchants on inventory monitoring and forecasting 
 • Provide training and education support to merchants to provide a high-quality merchant store experience 
 • Work closely with the category management and growth team and other departments to ensure maximum merchant participation success and long-term commitment 
 • Play a strategic role in maximising consumer shopping experience and increase a customer’s first-time shopping experience to becoming a long-term customer 
 • Assist consumers with returns &amp; refunds enquiries 
 • Provide merchants with payment processing, setttlement and reconciliation assistance 
 • Achieve GMV targets collectively as a team and grow net quality earning over time</t>
  </si>
  <si>
    <t>1. University graduate or higher education in business or relevant fields 
 2. Excellent communication skills; you must be comfortable speaking on the phone and possess quality writing skills
 3. Microsoft Office skills are required (MS. Excel, MS. Word and MS. Powerpoint) 
 4. A problem-solver and natural go-getter with a positive, hardworking attitude 
 5. A strong team player but also able to work independently 
 6. Ability to build good relationships with merchants and match merchant needs and organization resources to grow welovesupermom.com 
 7. Energetic, enthusiastic and calm even in very dynamic and fast pace working condition
 8. Excellent time management and communication skills with excellent leadership skills
 9. Strong interest in developing your experience in e-commerce and sales</t>
  </si>
  <si>
    <t>Andre Delarue (COO APAC Rhenus Logistics)</t>
  </si>
  <si>
    <t>"I highly recommend Rangarajan for the position at your company. In his time at Rhenus, he has shown exceptional technical, organizational and interpersonal skills and I am confident he will shine in whatever he takes up"</t>
  </si>
  <si>
    <t>Zave Pte Ltd</t>
  </si>
  <si>
    <t>Tarun Popat</t>
  </si>
  <si>
    <t>Business and Data Analyst</t>
  </si>
  <si>
    <t>Stylenook</t>
  </si>
  <si>
    <t>https://www.linkedin.com/in/tarun-popat/</t>
  </si>
  <si>
    <t>Meet Modi, CA</t>
  </si>
  <si>
    <t>Zalora Group</t>
  </si>
  <si>
    <t xml:space="preserve">Because of the business acumen and being able to have in mind the end goal at all times. And the ability to own things end-to-end with a pinch of humour and a lot of lively energy to keep high energy environment. Also, the brainstorming of how to find a unique solution to a business problem.. </t>
  </si>
  <si>
    <t xml:space="preserve">Work permit only in India. More than happy to relocate. </t>
  </si>
  <si>
    <t>Boki Indira Putri</t>
  </si>
  <si>
    <t>Content Indonesia Internship</t>
  </si>
  <si>
    <t>https://www.linkedin.com/in/boki-indira-putri-b83b1717b/</t>
  </si>
  <si>
    <t>● Assist with optimising the eCommerce platform’s technical architecture, security and database design 
 ● Design and develop new features to improve the shopping experience on our eCommerce platform and merchant experience on our Seller Centre
 ● Assist with the continuous improvement of our data analytics platform to enable management to make data-driven decisions
 ● Collaborate closely with marketing, merchant onboarding and UX research teams to develop ever-improving solutions for users</t>
  </si>
  <si>
    <t>● Bachelor's or higher degree in Computer Science or related fields
 ● More than 2 years of experience with developing applications using Javascript, PHP and SQL
 ● Obsessed with data and always looking to solve challenging problems and improving user experience
 ● Willingness to work beyond working hours as required during peak periods
 ● eCommerce experience
 ● Experience developing applications with Laravel, Vue JS and Google Cloud</t>
  </si>
  <si>
    <t>Lea Rosiana Sentausa, Marketing Head Stealth Startup</t>
  </si>
  <si>
    <t>Bayu Sulistomo</t>
  </si>
  <si>
    <t>IMURAL.ID</t>
  </si>
  <si>
    <t>https://www.linkedin.com/in/bayu-sulistomo-537663177/</t>
  </si>
  <si>
    <t>Bensfica Fedelia Audrey, Freelance Designer and Illustrator</t>
  </si>
  <si>
    <t>Richard Ramtle CEO @  IMURAL.ID</t>
  </si>
  <si>
    <t>Bayu are one of the most multidisciplinary art director at IMURAL, his understanding of art concept, design aesthetic and his eagerness to keep on learning and developing new method to deliver new product is always appreciated in the workspace</t>
  </si>
  <si>
    <t>Sumit Singh</t>
  </si>
  <si>
    <t xml:space="preserve">AVP </t>
  </si>
  <si>
    <t>Bukalapak</t>
  </si>
  <si>
    <t>https://www.linkedin.com/in/sumitkumarsingh/</t>
  </si>
  <si>
    <t>● Lead overall eCommerce product strategy and development to maximise business goals and user experience
 ● Manage product development timelines and stakeholder expectations
 ● Source for third party collaborators and engage with them to identify and execute mutually beneficial tie-ups
 ● Coordinate with Marketing, Merchant Onboarding, Engineering and UX Research teams in implementing data-driven solutions for the eCommerce platform
 ● Independently ideate, propose and guide development and management of new product features, marketing strategies, key tracking metrics, experiments and moonshots</t>
  </si>
  <si>
    <t>● At least 5 years experience in product management or related discipline
 ● Proven ability to manage to deadlines
 ● Independence, attention to detail, and out-of-the-box thinking
 ● A passion for learning and sharing and an obsession with using data to solve customer problems
 ● Excellent interpersonal and people skills - influencing internal team, engaging external focus groups and customers
 ● eCommerce experience
 ● Experience in the parenting industry
 ● Analytics experience</t>
  </si>
  <si>
    <t xml:space="preserve">Tarun from Ralali </t>
  </si>
  <si>
    <t>Need VISA</t>
  </si>
  <si>
    <t>Abhishek Ravish</t>
  </si>
  <si>
    <t>Enterprise Sales Manager</t>
  </si>
  <si>
    <t>https://www.linkedin.com/in/abhishekshriv/</t>
  </si>
  <si>
    <t>Julien Anseau Hmlet</t>
  </si>
  <si>
    <t>Wealth Managers</t>
  </si>
  <si>
    <t>HARSHAL PATIL</t>
  </si>
  <si>
    <t>MACHINE LEARNING FIELD ENGINEER, APJC</t>
  </si>
  <si>
    <t>Our clients require Wealth Managers capable of understanding their financial situations and recommending the most appropriate solutions.</t>
  </si>
  <si>
    <t>CLOUDERA</t>
  </si>
  <si>
    <t>Great interpersonal skills with an eye for details. Self-motivated and has a thirst for both knowledge and success.</t>
  </si>
  <si>
    <t>https://sg.linkedin.com/in/harshal-patil-774217</t>
  </si>
  <si>
    <t>Aspire Alliance Pte Ltd</t>
  </si>
  <si>
    <t>Insurance</t>
  </si>
  <si>
    <t>https://aspirealliance.com.sg/careers/</t>
  </si>
  <si>
    <t>Marshall Silver https://sg.linkedin.com/in/mjsilver</t>
  </si>
  <si>
    <t>LONG LIST OF REFERENCES - WILL BE PROVIDED AT RIGHT TIME - DO NOT WISH TO PUT ON PUBLIC FORUM</t>
  </si>
  <si>
    <t>askme@aspirealliance.com.sg</t>
  </si>
  <si>
    <t>SINGAPORE PR (PERMANENT RESIDENT)</t>
  </si>
  <si>
    <t>Wasif Khan</t>
  </si>
  <si>
    <t>Marketing Communications  Manager</t>
  </si>
  <si>
    <t>https://www.linkedin.com/in/wasifk/</t>
  </si>
  <si>
    <t>Jon Gregory, Operations Director, iflix</t>
  </si>
  <si>
    <t>Carlo Gabriel</t>
  </si>
  <si>
    <t>Human Resource Executive</t>
  </si>
  <si>
    <t>Business Analyst (Digital Marketing)</t>
  </si>
  <si>
    <t>Working closely with the management team, you will support the Company in all HR functions. You will manage payroll, recruitment and assist in training administration.</t>
  </si>
  <si>
    <t>https://www.linkedin.com/in/carlo-0002196/</t>
  </si>
  <si>
    <t>A team-player and a multi-tasker. Candidate must be resourceful, have initiative and be service oriented.</t>
  </si>
  <si>
    <t>Niva Widya, Digital Marketing Manager at MamiKost</t>
  </si>
  <si>
    <t>Trah Nugroho</t>
  </si>
  <si>
    <t>PT. Jaya Obayashi</t>
  </si>
  <si>
    <t>https://www.linkedin.com/in/trah-nugroho/</t>
  </si>
  <si>
    <t>Marketing, Sales, BD and Partnerships, Engineering</t>
  </si>
  <si>
    <t>Delon Toh</t>
  </si>
  <si>
    <t>www.linkedin.com/in/delontohjl</t>
  </si>
  <si>
    <t>Engineering, Finance</t>
  </si>
  <si>
    <t>Alan Schmoll, CEO @ Zave Pte Ltd</t>
  </si>
  <si>
    <t>Alan Schmoll (CEO)</t>
  </si>
  <si>
    <t>No requirements (Local)</t>
  </si>
  <si>
    <t>Karina Novianti Putri</t>
  </si>
  <si>
    <t>IT ProDIGI</t>
  </si>
  <si>
    <t>https://www.linkedin.com/in/karina-novianti-putri-21248b157/</t>
  </si>
  <si>
    <t>Finance Executive</t>
  </si>
  <si>
    <t>Candidate will work closely with the Finance Manager to fulfill all finance duties. Collection of payments and generation of invoices, including compilation of claims is part of work scope.</t>
  </si>
  <si>
    <t>Detailed and organised, candidate must also be a team-player. A minimum of 2 years experience is required.</t>
  </si>
  <si>
    <t>Hafidz Noor, UI/UX Specialist @Jenius</t>
  </si>
  <si>
    <t>Jhian Garrey Reyes</t>
  </si>
  <si>
    <t>Hmlet Central Pte Ltd</t>
  </si>
  <si>
    <t>https://www.linkedin.com/in/jhian-garrey-reyes-6b65a2146/</t>
  </si>
  <si>
    <t>Sales, Ops</t>
  </si>
  <si>
    <t>found it in a Community Forum</t>
  </si>
  <si>
    <t>Anne Lehman, CoFounder of LMB Housing Services Pte Ltd</t>
  </si>
  <si>
    <t>She was the Managing Director of LMB Housing and has helped me developed for who I am now. She gave her full trust for me to manage the Sales team for a few years.</t>
  </si>
  <si>
    <t>S/E Pass application required</t>
  </si>
  <si>
    <t>Sayani Bhattacharjee</t>
  </si>
  <si>
    <t>Software Development Engineer</t>
  </si>
  <si>
    <t>https://www.linkedin.com/in/sayanibh/</t>
  </si>
  <si>
    <t>Found article on LinkedIn</t>
  </si>
  <si>
    <t>Worldnesia (Indonesian Business Language Training Institution)</t>
  </si>
  <si>
    <t>Euis Siti Aisyah</t>
  </si>
  <si>
    <t>PT. Tennova Cipta Inatech (Pomona)</t>
  </si>
  <si>
    <t>https://www.linkedin.com/in/esaisyah/</t>
  </si>
  <si>
    <t>Product, HR, People, Talent, Design</t>
  </si>
  <si>
    <t>Willy Ahmad, Designer @ GreatEdu</t>
  </si>
  <si>
    <t>Elisha Limanu - Front End Engineer</t>
  </si>
  <si>
    <t>Alyza Bachmid</t>
  </si>
  <si>
    <t>Designer Apparel</t>
  </si>
  <si>
    <t>Motiprins</t>
  </si>
  <si>
    <t>https://www.linkedin.com/in/alyza-bachmid-26707b76</t>
  </si>
  <si>
    <t>The Digital Marketing Executive role will be responsible for:
 • Overseeing the management of the business’ social media channels, e-marketing campaigns, or website content for a range of clients across industries.
 • Strategising, creating, and growing the digital presence of assigned brands.
 • Producing and analysing digital / social media reports on behalf of the brands managed.
 • Creative ideation and content generation.
 • Planning, managing and posting content for all digital channels and social media activities in alignment with the strategy.
 • Suggesting and providing appropriate response strategy to follower conversations to maximise positive sentiments.
 • Maintaining the publishing calendar and constantly liaising with clients to ensure the calendar is always updated.
 • Attending client and prospect meetings when required.
 • Actively contributing to the growth of the brands’ online presence from its daily operations, layout changes, post types, and wherever else relevant.
 • Monitoring all conversations and escalate issues to relevant stakeholders.
 • Staying updated with market and competitor research within the industry.
 • Assisting to plan and develop tactical and strategic blueprints for all clients and prospects.
 • Ensuring the highest digital standards is executed and conveyed to the assigned brands.
 • Constantly exploring and introducing new digital platforms to stay ahead of competition.
 • Foreseeing future digital opportunities in platform, technology, marketing ideas.</t>
  </si>
  <si>
    <t>The Digital Marketing Executive will possess the following skills/expertise:
 • An intermediate understanding of digital and commercial business structures.
 • Basic consulting experience in digital strategy and User Experience.
 • A broad understanding of all disciplines within:
 • Digital marketing
 • Digital analytics
 • Digital content and creative
 • User Experience (UX)
 • Basic to intermediate understanding of current web development technologies and software.
 • Proven people skills.
 • Strong presentation skills.
 • Strong communication skills at all levels.
 • Strong analytical and technical skills.</t>
  </si>
  <si>
    <t>OpenMinds</t>
  </si>
  <si>
    <t>Karan Nathani, Startup Relations Manager @ Digitaraya</t>
  </si>
  <si>
    <t>Choi Kwun YU</t>
  </si>
  <si>
    <t>Savonix Pte Ltd</t>
  </si>
  <si>
    <t>www.linkedin.com/in/choi-kwun-yu</t>
  </si>
  <si>
    <t>Digital Marketing Lead / Manager</t>
  </si>
  <si>
    <t>The Digital Marketing Lead role will be responsible for:
 • Overseeing the Digital Team in production of daily projects.
 • Manage, support, guide and develop the Digital Team.
 • Plan and develop tactical and strategic blueprints for all clients and prospects.
 • Devise training plans to develop the skills of the Digital Team, ensuring that they receive all necessary training and development required to fulfil their job roles.
 • Set objectives and standards, providing clear, detailed feedback to the team on a day-to-day basis.
 • Manage the technical development of the team.
 • Set and maintain the highest digital standards.
 • Constantly explore and introduce new digital platforms to stay ahead of competition.
 • To foresee future digital opportunities in platform, technology, marketing ideas.
 • Conduct reviews / recruit new team members as and when required.</t>
  </si>
  <si>
    <t>The Digital Marketing Lead will possess the following skills/expertise:
 • A thorough understanding of digital and commercial business structures
 • Strategic understanding of the marketing department's role, and of the role of the Digital Team within the business.
 • Consulting experience in digital strategy, User Experience and/or interaction design.
 • A broad understanding of all disciplines within:
 • Digital marketing
 • Digital analytics
 • Digital content and creative
 • User Experience (UX)
 • Excellent understanding of current web development technologies and software.
 • Experience of managing direct reports, mentoring teammates.
 • Proven people management skills.
 • Strong presentation skills.
 • Strong communication skills at all levels.
 • Strong analytical and technical skills.</t>
  </si>
  <si>
    <t>Simon Collinson, Chief Science Officer @ Savonix Pte Ltd</t>
  </si>
  <si>
    <t>Sreekanth Chandramouli, Senior Product Manager</t>
  </si>
  <si>
    <t>Choi helps to derive new insights from customer behavioural and demographical data and uses that effectively to contribute to new ideas in the product backlog. She is very efficient and a team player willing to handle multiple hats depending on the circumstances. She would beChoi helps to derive new insights from customer behavioural and demographical data and uses that effectively to contribute to new ideas in the product backlog. She is very efficient and a team player willing to handle multiple hats depending on the circumstances. She would be a great asset to any Organization! a great asset to any Organization!</t>
  </si>
  <si>
    <t>Anushka</t>
  </si>
  <si>
    <t>UI / UX Designer</t>
  </si>
  <si>
    <t>Sourcer(recruitment)</t>
  </si>
  <si>
    <t>The UI/UX Designer will be responsible for:
 • Designing user interface and user experience for custom made web and mobile applications
 • Design overall web layout, application look and feel with emphasis on the flow of content, following marketing / business objectives and creating an intuitive user experience.
 • Gathering and evaluating user requirements, in collaboration with clients, product managers and developers
 • Illustrating design ideas using storyboards, process flows and sitemaps
 • Designing graphic user interface elements, like menus, tabs and widgets
 • Build page navigation buttons and search fields
 • Develop UI mockups and prototypes that clearly illustrate how sites or apps function and look like
 • Create original graphic designs (e.g. images, icons, sketches and tables)
 • Prepare and present rough drafts to clients, internal teams and key stakeholders
 • Identify and troubleshoot UX problems (e.g. responsiveness)
 • Conducting UX measurement, usability test and user research as needed
 • Conduct layout adjustments based on user feedback
 • Adhere to style standards on fonts, colours, images, icon and the likes
 • Contribute to the commercial viability of online products by ensuring market attractive products are designed and delivered
 • Collaborating on UX planning with fellow designers and developers
 • Initiating UX/UI improvement efforts backed by UX analysis
 • Establish, apply and improve UI/UX standard and best practices 
 • Conduct / lead discussions with team members and consult clients on UI/UX related topics
 • Always up-to-date with developing trends in UI/UX and educates team members of such developments</t>
  </si>
  <si>
    <t>https://www.linkedin.com/in/anushka-a-singh/</t>
  </si>
  <si>
    <t>The UI/UX Designer will possess the following skills/expertise:
 • Knowledge of wireframe tools (e.g. Wireframe.cc and InVision)
 • Up-to-date knowledge of design software like Adobe Illustrator and Photoshop
 • Candidate must possess a Diploma or higher in Graphic Design and Illustration or equivalent accreditation
 • Experience in Web App and Mobile App Layout Design
 • Added advantage: Experience in using JavaScript technologies like JQuery, Angular JS, Ionic View and other JavaScript frameworks (Bootstrap)
 • Added advantage: Knowledge in CSS, HTML and JavaScript
 • At least 2 years of working experience in UI/UX design
 • We are also open to fresh graduates that have the above competencies</t>
  </si>
  <si>
    <t>Content Strategist (Secondment)</t>
  </si>
  <si>
    <t>- Support the development and implementation of marketing strategy and plans for the Client in APAC markets.
- Ensure all communications are in line with brand identity, guidelines, tone and strategy.
- Work with the APAC business marketing team and global team to develop, plan, and execute a regional marketing plan, including sales campaigns, research, events, and digital campaigns (and many more) to support the subscription and consulting sales teams.
- Contribute to brainstorms and new opportunities to strengthen and build successful launches or marketing programs and ongoing campaigns.
- Take leadership in writing and editing of APAC clients' success stories and blog posts.
- Assist with creation and updating of sales materials, marketing collaterals, and PowerPoint presentations.
- Development and maintenance of regional marketing database.
- Market research responsibilities.
- Support key marketing projects, both global and regional (project management).
- Partner with the Client’s global marketing team, APAC marketing managers and local market leads to develop and maintain marketing calendar
- Build strategic relationships and partner with key internal stakeholders, agencies and vendors and support budget management.</t>
  </si>
  <si>
    <t>Marisa Liao( Head of recruitment APAC Deliveroo)</t>
  </si>
  <si>
    <t>Marisa Liao ( Head of recruitment APAC Deliveroo)</t>
  </si>
  <si>
    <t xml:space="preserve"> Edwin Seah Recruiter (UAE and Kuwait)</t>
  </si>
  <si>
    <t>on Dependent Pass</t>
  </si>
  <si>
    <t>Massie Dwitama</t>
  </si>
  <si>
    <t>Head of SaaS Operation</t>
  </si>
  <si>
    <t xml:space="preserve">- A minimum of 4-6 years experience in content development and marketing roles in Singapore, preferably in an agency environment &amp; within the technology sector
- A track record in developing and leading end-to-end marketing projects, business proposals and strategies with a high win-rate
- Is a confident self-starter, able to drive conversations at the C-suite level
- Solid understanding of the issues and opportunities in the technology space
- Has an excellent command of the English language, both written and spoken
- Is able to work extremely well under pressure
- Has excellent attention to detail
- Has experience managing clients and mentoring junior team members
- Solid understanding of the local media landscape
</t>
  </si>
  <si>
    <t>Mutant Communications</t>
  </si>
  <si>
    <t>http://linkedin.com/in/massie-dwitama-9428a4b0</t>
  </si>
  <si>
    <t>Communications</t>
  </si>
  <si>
    <t>https://www.linkedin.com/jobs/cap/view/1836957391/</t>
  </si>
  <si>
    <t>Marita, Zilingo</t>
  </si>
  <si>
    <t>Sid Narayanan, Head of enterprise software, zilingo</t>
  </si>
  <si>
    <t xml:space="preserve">Massie is highly driven, accountable &amp; can adapt quickly. She helped me actively manage a regional team operating across six countries in the Asia Pacific region &amp; did an excellent job. </t>
  </si>
  <si>
    <t>sari dewi setyorini</t>
  </si>
  <si>
    <t xml:space="preserve">Recruitment Assistant Manager </t>
  </si>
  <si>
    <t>Apply via URL</t>
  </si>
  <si>
    <t>PT Pasona HR Indonesia</t>
  </si>
  <si>
    <t>https://www.linkedin.com/in/sari-setyorini-28b26041/</t>
  </si>
  <si>
    <t>WeWork</t>
  </si>
  <si>
    <t>Creative Engineer</t>
  </si>
  <si>
    <t>Creating and programing on the drone show choreography from discussing the storyboard with client to programming the trajectory of drone formation. Create 3D choreography with 3DCG software and our original tools (blender addon).</t>
  </si>
  <si>
    <t>SKYMAGIC</t>
  </si>
  <si>
    <t>Drone / Robotic</t>
  </si>
  <si>
    <t>https://www.indeedjobs.com/sky-magic-pte-ltd/jobs/76176320c1891d7227fd</t>
  </si>
  <si>
    <t xml:space="preserve">Dessy Mustika Sari, HR Manager </t>
  </si>
  <si>
    <t xml:space="preserve">She has an open personality that perfectly suits the sphere of Pasona services. She is compassionate, empathetic, and understanding. She is more than a colleague; she is a friend to whom I know I can turn to and will never let me down. </t>
  </si>
  <si>
    <t>Shawn Lee</t>
  </si>
  <si>
    <t>Head of Talent Acquisition</t>
  </si>
  <si>
    <t>https://www.linkedin.com/in/shawnlwb/</t>
  </si>
  <si>
    <t>Wellbe Event Management</t>
  </si>
  <si>
    <t xml:space="preserve">Marita, Zilingo </t>
  </si>
  <si>
    <t>Danielle Gross</t>
  </si>
  <si>
    <t>PR Lead</t>
  </si>
  <si>
    <t>https://www.linkedin.com/in/danielle-lauren-gross/</t>
  </si>
  <si>
    <t>VP of Engineering</t>
  </si>
  <si>
    <t>Marita Abraham, CMO @ Zilingo</t>
  </si>
  <si>
    <t>Naushaba Salahuddin, Head of PR &amp; Communications</t>
  </si>
  <si>
    <t>Demfna Maestre</t>
  </si>
  <si>
    <t>Regional Talent Acquisition, APAC</t>
  </si>
  <si>
    <t>https://www.linkedin.com/in/demfna-maestre-osorio-646886156/</t>
  </si>
  <si>
    <t>You will be leading a team of engineers to build one of the world’s leading knowledge exchange platform. You have to inspire, lead and guide your team to achieve the desired objectives within a limited timeframe. You are not afraid to take up the challenges thrown at you by getting to the ground and resolve day-to-day challenges. In short, you need to be multi-skilled, multi-functional and able to orchestrate your team to build a world class platform.</t>
  </si>
  <si>
    <t>WeLab Bank</t>
  </si>
  <si>
    <t>Sales, Product, Ops, Exec team, HR, People, Talent</t>
  </si>
  <si>
    <t>5-7+ years of hands-on experience in software development and management is a MUST; Experience working in a technology start-up will be an added advantage</t>
  </si>
  <si>
    <t>Marisa Liao, Head of Recruitment, Deliveroo</t>
  </si>
  <si>
    <t>Kydon Holdings Pte Ltd</t>
  </si>
  <si>
    <t>Anushka Singh</t>
  </si>
  <si>
    <t>“Demfna is an amazingly hardworking, talented and goal oriented person. I have seen her go above and beyond to reach her goal. I was lucky to work closely with her and learn from her”</t>
  </si>
  <si>
    <t>Corinne Marie Carreon</t>
  </si>
  <si>
    <t>Group Account Director</t>
  </si>
  <si>
    <t xml:space="preserve">Publicis Groupe </t>
  </si>
  <si>
    <t>https://www.linkedin.com/in/coco-carreon-50565740/</t>
  </si>
  <si>
    <t>Technology</t>
  </si>
  <si>
    <t>https://www.jobstreet.com.sg/en/job/7905996/sources/2</t>
  </si>
  <si>
    <t>Found on Linked In</t>
  </si>
  <si>
    <t>Long Term Social Visa Pass (with permit to work)</t>
  </si>
  <si>
    <t>andrea albieri</t>
  </si>
  <si>
    <t>regional sales specialist</t>
  </si>
  <si>
    <t>essilor luxottica</t>
  </si>
  <si>
    <t>https://www.linkedin.com/in/andrea-albieri/</t>
  </si>
  <si>
    <t>Apply via the URL Link or drop an email with resume to johnquek@kydongrp.com</t>
  </si>
  <si>
    <t>CEO @ Tigerhall</t>
  </si>
  <si>
    <t xml:space="preserve">KHAIRUL RIDWAN NORIZAN </t>
  </si>
  <si>
    <t xml:space="preserve">DESIGN/PROJECT ARCHITECT </t>
  </si>
  <si>
    <t xml:space="preserve">Khairul Ridwan </t>
  </si>
  <si>
    <t xml:space="preserve">HELENA HASSAN </t>
  </si>
  <si>
    <t>Rininta Gwendelynna</t>
  </si>
  <si>
    <t>Fullerton Health Indonesia</t>
  </si>
  <si>
    <t>Referral</t>
  </si>
  <si>
    <t>Param (Pj) Lamba</t>
  </si>
  <si>
    <t>Product Director</t>
  </si>
  <si>
    <t>https://www.linkedin.com/in/pj-l</t>
  </si>
  <si>
    <t>QA Engineer (Software)</t>
  </si>
  <si>
    <t>Create tests to identify software problems
 - Analyse bugs and errors found during tests
 - Test results documentation for the software development team
 - Recommend improvements in software to enhance user experience
 - Works together with the software developer to enhance and improve the product
 - Research and compare similar competitor products
 - Maintain updated knowledge of industry trends and advancements</t>
  </si>
  <si>
    <t>3+ years of hands on experience in software development testing; In-depth understanding of Java, HTML, Python, SQL, D3++, XML, iOS and Android native languages</t>
  </si>
  <si>
    <t>Pankaj, senior consultant @ openlink</t>
  </si>
  <si>
    <t>EP sponsorship reqired</t>
  </si>
  <si>
    <t>Jee Lee Koh</t>
  </si>
  <si>
    <t>Financial Services Senior Consultant</t>
  </si>
  <si>
    <t>EY</t>
  </si>
  <si>
    <t>linkedin.com/in/jee-lee-koh-99bba8152</t>
  </si>
  <si>
    <t>https://www.jobstreet.com.sg/en/job/7906001/sources/2</t>
  </si>
  <si>
    <t>Warung Pintar</t>
  </si>
  <si>
    <t>YOhana</t>
  </si>
  <si>
    <t>Personal Assistant to CEO or high level management</t>
  </si>
  <si>
    <t>Multi Nasional Company</t>
  </si>
  <si>
    <t>https://www.linkedin.com/in/yohanna-tania-4a263260/</t>
  </si>
  <si>
    <t>Software Engineer – Backend Lead</t>
  </si>
  <si>
    <t>Mr. Benny Winata, CEO of PT Kobe Nutri Farma</t>
  </si>
  <si>
    <t>Lead backend development team in developing the key components and services for the platform; Compile and analyse data, processes, and codes to troubleshoot problems and identify areas for improvement; Collaborating with the front-end developers and other team members to establish objectives and design more functional, cohesive codes to enhance the user experience; Develop new features as well as APIs</t>
  </si>
  <si>
    <t>5+ years of hands on experience in software development; Strong understanding of the web development cycle and programming techniques and tools</t>
  </si>
  <si>
    <t>Mr. Fahad Haidar, Ms. Retno Tri Utami, Ms. Yenny Suwandi</t>
  </si>
  <si>
    <t>Monisha Pinto</t>
  </si>
  <si>
    <t>https://www.jobstreet.com.sg/en/job/7906006/sources/2</t>
  </si>
  <si>
    <t>Recruiter, APAC</t>
  </si>
  <si>
    <t xml:space="preserve">Deliveroo </t>
  </si>
  <si>
    <t>https://www.linkedin.com/in/monishapsingh/</t>
  </si>
  <si>
    <t xml:space="preserve">Marisa Liao, Head of APAC Recruitment, Deliveroo </t>
  </si>
  <si>
    <t>Currently hold an EP</t>
  </si>
  <si>
    <t>Sylvia Hercahyani</t>
  </si>
  <si>
    <t>Business Development Manager / Operational Manager</t>
  </si>
  <si>
    <t>Maestro in Training</t>
  </si>
  <si>
    <t>https://www.linkedin.com/in/sylviahercahyani/</t>
  </si>
  <si>
    <t>Software Engineer – Frontend Lead</t>
  </si>
  <si>
    <t>Lead frontend development team alongside Backend Developers, Graphic Designers and User Experience Designers to ensure all elements of web creation are consistent; Responsible for ensuring the alignment of web design and user experience requirements, optimizing web pages for maximum efficiency and maintaining brand consistency across all web pages, among other duties</t>
  </si>
  <si>
    <t>https://www.jobstreet.com.sg/en/job/7906013/sources/2</t>
  </si>
  <si>
    <t>BD and Partnerships, Accounting, Ops, Exec team, HR, People, Talent</t>
  </si>
  <si>
    <t>I Ketut Adi Putra, Associate Vice President @ Tokopedia ~ Johannes Ardiant, Co-founder @ Lemonilo</t>
  </si>
  <si>
    <t>Allen Davenport, Professional Learning &amp; Development Manager ASEAN, Cambridge University Press</t>
  </si>
  <si>
    <t>I worked quite often with Sylvia for more than four years that dequired a lot of communications, organization, and logistical planning. She always worked hard to make sure that the details of my travel throughout Indonesia were taken care of, and I could always count on her to communicate promptly if there ever was an issue. I found her to be very professional, and I know that others who have worked with her have also found her to be very helpful, friendly and efficient.</t>
  </si>
  <si>
    <t>Mohammad Iqbal</t>
  </si>
  <si>
    <t>Matahari.com</t>
  </si>
  <si>
    <t>https://www.linkedin.com/in/mohammad-iqbal-02237244/</t>
  </si>
  <si>
    <t>Vrbo (Expedia Group)</t>
  </si>
  <si>
    <t>Assistant Communications Manager / Communications Manager</t>
  </si>
  <si>
    <t>Edo Kurniawan, Digital Program Lead Matahari</t>
  </si>
  <si>
    <t>Your main duties will also include creating informative content, press releases, articles, and media opportunities to share our company’s brand, products, and services. The ideal candidate will be an excellent communicator, with brilliant presentation and organizational skills.</t>
  </si>
  <si>
    <t>Felixander Loetama</t>
  </si>
  <si>
    <t>Software Engineering Manager</t>
  </si>
  <si>
    <t>SenSING Pte Ltd</t>
  </si>
  <si>
    <t>Bachelor’s degree in communications, journalism, public relations or relevant field with minimum of 3 years’ experience in a similar role</t>
  </si>
  <si>
    <t>https://www.linkedin.com/in/felixanderloetama/</t>
  </si>
  <si>
    <t>Vokraf</t>
  </si>
  <si>
    <t>https://www.jobstreet.com.sg/en/job/7908758/sources/2</t>
  </si>
  <si>
    <t>Marc Tonido, Head of Technology</t>
  </si>
  <si>
    <t>VMw</t>
  </si>
  <si>
    <t>Kim Ng</t>
  </si>
  <si>
    <t>APAC Benefits</t>
  </si>
  <si>
    <t>https://www.linkedin.com/in/kimyongng/</t>
  </si>
  <si>
    <t>Zigor Munoz</t>
  </si>
  <si>
    <t>Head of Supply Southeast Asia Hong Kong &amp; Taiwan</t>
  </si>
  <si>
    <t>https://www.linkedin.com/in/zigormunoz/</t>
  </si>
  <si>
    <t>Solution Sales Manager</t>
  </si>
  <si>
    <t>Responsible for account acquisition and account management; Gather and understand customer needs, budget and timeline; Proposed learning solutions/services to existing customers and prospect for new opportunities; Develop strong and accurate forecasting, account strategy, planning and develop proposal; Develop deep customer knowledge and influence through forging executive relationships; Work with internal solution teams to deliver successful client experiences; Meeting revenue and profit target assigned</t>
  </si>
  <si>
    <t>Minimum 3 years field sales and account relationship management experience with major accounts; Previous experience working in selling ICT learning solutions highly desirable; Proven track record of delivering revenue targets with a strong customer experience focus; Excellent oral and written communication skills</t>
  </si>
  <si>
    <t>Clint, Talent @ Airbnb</t>
  </si>
  <si>
    <t>Nick Andrews - Senior Director Expedia</t>
  </si>
  <si>
    <t>on an EP</t>
  </si>
  <si>
    <t>https://www.jobstreet.com.sg/en/job/7867043/sources/2</t>
  </si>
  <si>
    <t>https://sg.linkedin.com/in/greatsocialevil</t>
  </si>
  <si>
    <t xml:space="preserve">Airbnb </t>
  </si>
  <si>
    <t>ViacomCBS</t>
  </si>
  <si>
    <t xml:space="preserve">Wai Leng Wong </t>
  </si>
  <si>
    <t xml:space="preserve">Senior Facilities Program Specialist </t>
  </si>
  <si>
    <t>https://www.linkedin.com/in/wai-leng-wong-9a2456121/</t>
  </si>
  <si>
    <t>Potential CTO</t>
  </si>
  <si>
    <t>We’re the founders of www.itch.me, and we are looking for a full-stack web developer (freelance / potential CTO) to join us at itch—the first, fashion social platform &amp; editorial driven by its users. Yes! Instead of creativity often subject to opinions of a select few, everyone’s social activities on itch will transparently determine our timeline, visibility, as well as what gets featured on our Zine! Finally, fashion professionals can now showcase, find collaborations but most importantly, have a voice to collectively dictate what should trend for a change! Fashion 2.0: For fashion creatives, rebels and forward thinkers—a movement that’s already gaining global traction! 
 So as our current site was built from scratch and without a framework, we’re seeking an independent individual to fully transpose our entire site into a framework (e.g. Angular or React, just to name a few) as well as adding new features moving forward. This means, if you’re physically based in Singapore, have the experience and know-how to code a site from scratch and comfortable to work from home—let’s chat! Should the universe be willing, you may well be more than just a freelancer and we’ll be glad to fashion a revolution with you as potential CTO at itch.
 So feel free to sign up and learn more at www.itch.me
 Love,
 Joseph &amp; Byn
 Creative director &amp; Design director of itch</t>
  </si>
  <si>
    <t>Scope of Projects:
 • Transpose our entire site with a framework
 • Improve UI/UX on our desktop and mobile responsive website
 • Transform design visuals into reality
 • Ensure the best possible performance, quality and responsiveness of site
 • Write stable, secure, scalable and efficient Front-end and Back-end code
 Skills/Requirements:
 • Proficient in MySQL, PHP, Node.js
 • Must be able to code using HTML5, CSS3, Javascript, AJAX &amp; JSON, Web &amp; Media Queries and Responsive Web Development
 • Work with jQuery, Javascript Templates, Custom Javascript Components, MVC
 • Understand cross browser differences and techniques
 • Version control using Git
 • Understand user experience on our front-end web development
 • Competence in Unit Testing
 • Able to manage legacy codes
 • Knowledge of Amazon Web Services (AWS)</t>
  </si>
  <si>
    <t>Groundcrew Pte Ltd</t>
  </si>
  <si>
    <t>Fashion Social Network</t>
  </si>
  <si>
    <t>https://www.itch.me/</t>
  </si>
  <si>
    <t>Clint Gleave, Recruiter @ Airbnb Singapore</t>
  </si>
  <si>
    <t>Seng Chor Ng, Manager, Regional APAC Workplace</t>
  </si>
  <si>
    <t>Alexandria Bang</t>
  </si>
  <si>
    <t>Recruiting Operations Lead, APAC</t>
  </si>
  <si>
    <t>https://www.linkedin.com/in/alexandria-bang-b310919b/?senderId=wtnby</t>
  </si>
  <si>
    <t>Looking forward to hearing from you at groundcrew.me@gmail.com</t>
  </si>
  <si>
    <t>Airbnb Alumni</t>
  </si>
  <si>
    <t>Alex Cheng (MANAGER, RECRUITING ANALYTICS AND SYSTEMS) or Nico Yang (MANAGER, CHINA RECRUITING)</t>
  </si>
  <si>
    <t>"Alexandria is APAC oice recruiting ops specialist, she is very experienced and professional. She is also my mentor when I started operations role since Q3 of 2019. I started in ops role as an RC with no experience in this iled, she helps me ramped up in a short time. Alex sets weekly meeting with me and gives me training in systems, analytics-related, and project operation no matter both stakeholder-interaction AND technical ability. Alway responsive and patient to my questions whenever I needed. I'm really impressed by the way she works and how organized she is. Alex is deinitely one of the best example of what's the team's ops should be. I feel so luck to have her be my mentor!" From one of my perf reviews.</t>
  </si>
  <si>
    <t xml:space="preserve">Jill Lu </t>
  </si>
  <si>
    <t xml:space="preserve">Experiences Business Ops Coordinator </t>
  </si>
  <si>
    <t>Software QA Manager</t>
  </si>
  <si>
    <t>https://www.linkedin.com/in/jill-lu-44642970/</t>
  </si>
  <si>
    <t>Supporting and enhancing performance through analysing and assessing quality control, to deliver new features for an industry disrupting platform to ensure that the platform meets certain thresholds of acceptability - Operating in teams with advanced Agile processes. This role involves wearing multiple hats while participating in the entire product lifecycle. Reporting directly to the Product head, you will play a pivotal role in defining and achieving the platform roadmap. You will work closely with software product managers, QA testers, developers and stakeholders throughout the company</t>
  </si>
  <si>
    <t>V magics business solutions</t>
  </si>
  <si>
    <t>• Bachelors degree in IT/Computer Science/Software Engineering or a related discipline.
 • At least 2+ years of experience in quality assurance.
 • At least 2+ years of experience in leading/managing small teams.
 • Experienced in Agile software development methodologies, using frameworks such as Scrum with a track record of delivery in sprints and in the Atlassian suite of products.
 • Experienced and familiar with defining and driving software quality processes within the SDLC, with exposure in Cloud App / API / Microservice development.
 • Strong understanding in continuous delivery and continuous integration i.e. SCM, build &amp; release tools and automated testing.
 • Team player with strong interpersonal skills, skilled in developing collaborative relationships.
 • Excellent critical thinking, stakeholder management and communication skills. 
 • High level of initiative, passion, and desire to ensure a world-class user experience for customers.
 • Good command of written and spoken English.</t>
  </si>
  <si>
    <t>Gmedes Pte Ltd</t>
  </si>
  <si>
    <t>To: leonardl @ gmedes.com
 Subject: SEAriously awesome QA - [Full name]
 Attach: CV</t>
  </si>
  <si>
    <t>bola.akinsanya@airbnb.com</t>
  </si>
  <si>
    <t xml:space="preserve">siawlei.ng@airbnb.com </t>
  </si>
  <si>
    <t xml:space="preserve">maddie.combs@airbnb.com </t>
  </si>
  <si>
    <t xml:space="preserve">yes, currently in Singapore </t>
  </si>
  <si>
    <t>* Working within a cross-functional team to ensure the solutions meets business and customer needs.
• Articulating the product vision and engage the product team and stakeholders in its development.
• Taking a feature, or set of features, and break it down into clearly written and implementable user stories that support and bring clarity to the team. Such user stories should include functionality description, scope of story, acceptance and supporting documentation.
• Working closely with Product Managers and Designers to conduct analysis of user and business needs based on the current priority or project.
• Managing the scope of features to ensure time to market is not compromised by making trade-offs and focusing on incremental delivery.
• Fully owning your product backlog.
• Being the point of contact for the development team when they’ve got questions on a story,
and provide answers or rationale so nobody is blocked from progressing.
• Differentiating between customer and business value and prioritise accordingly.
• When required, assisting developers with technical specifications.
• Influencing a diverse group of stakeholders through strong leadership skills.</t>
  </si>
  <si>
    <t>Fluent in English-written and spoken.
• 2+ years of experience as an agile product owner.
• Experience working with remote development teams.
• Experience using project management tools such as JIRA/Confluence.
• Strong knowledge of agile development methodologies.
• Experience in car insurance is a plus.
• Experience in the financial services industry is a plus.
• Certified scrum product owner is a plus.
• You are self-motivated and direct, with the ability to effectively prioritize and execute tasks in
a fast-paced environment.
• You’ve got an eye for detail – nothing slips by you.
• You are analytical and essentially a problem-solver.
• You have par excellence time management and prioritization skills.</t>
  </si>
  <si>
    <t>GoBear Singapore</t>
  </si>
  <si>
    <t>Jean Lee</t>
  </si>
  <si>
    <t>Internet / Financial Services</t>
  </si>
  <si>
    <t xml:space="preserve">Safety Specialist </t>
  </si>
  <si>
    <t>https://www.linkedin.com/in/yet-bing-82b94393/</t>
  </si>
  <si>
    <t>https://www.linkedin.com/jobs/view/1831389507</t>
  </si>
  <si>
    <t>Useget.com</t>
  </si>
  <si>
    <t>Brian Chesky @ Airbnb</t>
  </si>
  <si>
    <t>melissatan@gobear.com</t>
  </si>
  <si>
    <t>Vikna Karthiga Mageyandran</t>
  </si>
  <si>
    <t>Safety Specialist</t>
  </si>
  <si>
    <t>https://www.linkedin.com/in/vikna-karthiga-mageyandran/</t>
  </si>
  <si>
    <t>Senior Executive, Insurance Brokerage Digital Operations</t>
  </si>
  <si>
    <t>You’ll have to lead the shape of the brokerage operations, within regulatory confines.
• You’ll be accountable for the success of the full spectrum of brokerage operations.
• This is digital insurance brokerage, so a key part of your job will be to shape and update the
operations infrastructure together with stakeholders.
• You’ll maintain existing relationships and deepen engagement with existing partners.
• You’ll ensure local regulatory compliance in line with regional compliance leadership.
• You’ll be instrumental in developing and maintaining the process efficiency between the
brokerage business and the Marketplace platform.
• You’ll have opportunity to work on offline business development in addition to Marketplace
partnerships.
• You’ll be required to be hands-on where necessary in day to day operations, while building the
team capability. This may include some manual tasks.</t>
  </si>
  <si>
    <t>You have earned a Bachelor’s Degree in finance, business management, engineering or a data analytics related field of study.
• You can communicate effectively and are familiar with the operational and regulatory requirements of an insurance brokerage business.
• You bring in 1-3 years related experience in one or more of the following areas: general insurance, life insurance, web technology, insurance brokerage operations.
• You have extensive knowledge of the local insurance business environment.
• You bring in awesome online/digital experience and ability to project manage.
• You have excellent project management skills.
• Professional qualifications are a bonus - BCP, PGI, ComGI, otherwise required to pass within 3
months of joining.</t>
  </si>
  <si>
    <t>https://www.linkedin.com/jobs/view/1825747635</t>
  </si>
  <si>
    <t>Brian Chesky</t>
  </si>
  <si>
    <t>Elwyn lee</t>
  </si>
  <si>
    <t>Kien Nguan TEE</t>
  </si>
  <si>
    <t>Territory Manager APAC, Airbnb LUXE</t>
  </si>
  <si>
    <t>https://www.linkedin.com/in/kien-nguan-tee-5443a44/</t>
  </si>
  <si>
    <t>API Engineer</t>
  </si>
  <si>
    <t>Clinton Gleave</t>
  </si>
  <si>
    <t>A TECH Driven Techie(s) whom main responsibility to develop API across both platform (Web &amp; Mobile)
 Further JD to be explained over the phone/email.
 Don't be shy to find out more. Willing to share and help you.</t>
  </si>
  <si>
    <t>Nick Guezen, Director Portfolio Strategy. Alyssa Lin, Director, Portfolio Strategy. Central</t>
  </si>
  <si>
    <t>Job Requirements:
 1) Working experience of 5 years and above.
 2) Familiar with MS Typescript, NodeJS, NestJS, Express.
 3) Familiar with MySQL, Postgres, MondoDB.
 4) Familiar with GIT.
 5) BONUS: Familiar with Microservices.</t>
  </si>
  <si>
    <t>Tech (Automotive)</t>
  </si>
  <si>
    <t>Ankit Khurana</t>
  </si>
  <si>
    <t>Partner Success Manager &amp; Account Manager</t>
  </si>
  <si>
    <t>https://www.linkedin.com/in/ankit-khurana-a0901940/</t>
  </si>
  <si>
    <t>6018-373-1668
 jienhowe@alexisint.com</t>
  </si>
  <si>
    <t>IT Engineering &amp; Developing</t>
  </si>
  <si>
    <t>Dishant Bhasin @ MakeMyTrip</t>
  </si>
  <si>
    <t>Manish Nichani, who is the Territory Manager at Airbnb India</t>
  </si>
  <si>
    <t>We at Airbnb are surrounded by few of the most intellectual and compassionate people who would love to share a thing or two about my working style and knowledge. I would rather ask the recruiter to do a background check themselves, in spite me boasting about myself; I will be happy to share the names and contact details of my folks at Airbnb.</t>
  </si>
  <si>
    <t xml:space="preserve">India has flexible visa advisories with counterparts. </t>
  </si>
  <si>
    <t>A TECH Driven Techie(s) whom is experienced in web app development (back-end dev).
 Further JD to be explained over the phone/email.
 Don't be shy to find out more. Willing to share and help you.</t>
  </si>
  <si>
    <t>Job Requirements:
 1) Working experience of 5 years and above.
 2) Familiar with PHP, HTML5, JS, NodeJS
 3) Familiar with CodeIgniter, Laravel, Pharcon
 4) Famliar with Doctrine, PHPUnit, Redis, Bash
 5) Familiar with REST, JSON, XML
 6) Familiar with GIT, Bitbucket
 7) Familiar with Agile Scrum, Kanban
 8) Familiar with AWS, Linux System</t>
  </si>
  <si>
    <t>Yi Chiao Cheng</t>
  </si>
  <si>
    <t>Protenga</t>
  </si>
  <si>
    <t>https://www.linkedin.com/in/yitch/</t>
  </si>
  <si>
    <t>Eugene Yan @Amazon</t>
  </si>
  <si>
    <t>Leo, CEO</t>
  </si>
  <si>
    <t>Yi Xin Yap</t>
  </si>
  <si>
    <t>Social Media Coordinator</t>
  </si>
  <si>
    <t>https://www.linkedin.com/in/yixinyap/</t>
  </si>
  <si>
    <t>Manager, Marketing Communications</t>
  </si>
  <si>
    <t>Be our chief content strategist who possesses strong Marcomms knowledge, one who is super creative in content ideation and also passionate about gaming!</t>
  </si>
  <si>
    <t>• Minimum of 3 years’ experience in a marketing communications/content or similar editorial role.
• Strong storytelling fundamentals and expertise: Are you able to wow an audience with the story of our brand and the success of our products?
• Working knowledge of all priority social platforms including Facebook, Instagram, YouTube, Twitter, Linkedin, and live streaming sites such as Twitch
• Exceptional proficiency in your written and spoken English
• A tactical mind in marketing/copywriting approach
• Able to work in a fast-paced environment, while managing multiple projects
• A perfectionist at heart with attention to detail</t>
  </si>
  <si>
    <t>Secretlab</t>
  </si>
  <si>
    <t>FMCG, Tech, E-sports,
E-commerce</t>
  </si>
  <si>
    <t>Clinton Gleave, Recruiter @ Airbnb</t>
  </si>
  <si>
    <t>https://secretlab.sg/pages/careers#id-10158</t>
  </si>
  <si>
    <t>Sreekanth Chandramouli</t>
  </si>
  <si>
    <t>Savonix Inc</t>
  </si>
  <si>
    <t>www.linkedin.com/in/sreekan</t>
  </si>
  <si>
    <t>Product Management Group - Facebook</t>
  </si>
  <si>
    <t>Simon Collinson, Chief Science Officer, Savonix</t>
  </si>
  <si>
    <t>Sree and I worked on the development of two products at Savonix. Sree is a solid performer, a thoughtful, creative thinker and good listener. He is a consistently diligent and process oriented. Sree has a great knowledge of the health tech space, but I can see him easily adapting to Fintech or any other area of technology. It was a pleasure to work with Sree and I know he would be an asset to any organisation looking for an all around combination of skills</t>
  </si>
  <si>
    <t>Indian Citizen</t>
  </si>
  <si>
    <t>Tommy Johnson</t>
  </si>
  <si>
    <t>Software Quality Assurance &amp; Operations Specialist</t>
  </si>
  <si>
    <t>Inspire-Tech Pte Ltd</t>
  </si>
  <si>
    <t>https://www.linkedin.com/in/tommyjsonn</t>
  </si>
  <si>
    <t>Email: yr.cheong@secretlab.sg
Contact person: Cheong Yuan Rui</t>
  </si>
  <si>
    <t>Padmaja Vinodh, Service Delivery Manager @Inspire-Tech</t>
  </si>
  <si>
    <t>Senior Associate, Integrated Marketing</t>
  </si>
  <si>
    <t>A data-driven marketer who thrives in deriving actionable insights from market research data points</t>
  </si>
  <si>
    <t>• Bachelor’s degree or equivalent in business, marketing or hospitality
• Marketing, brand and/ project management skills/experience
• Exceptional proficiency in your written and spoken English
• Ability to analyze, interpret and extract trends from data
• Proficiency in marketing fundamentals
• Strong business mindset
• Excellent verbal communication and presentation skills
• Able to work in a fast-paced environment, while managing multiple projects</t>
  </si>
  <si>
    <t>Eva Lefaix</t>
  </si>
  <si>
    <t xml:space="preserve">Product Marketing Associate </t>
  </si>
  <si>
    <t>Shiseido Travel Retail Asia</t>
  </si>
  <si>
    <t>https://www.linkedin.com/in/eva-lefaix/</t>
  </si>
  <si>
    <t>https://secretlab.sg/pages/careers#id-10156</t>
  </si>
  <si>
    <t>Emmanuelle Buntinx</t>
  </si>
  <si>
    <t>Eva was an indispensable element in the smooth running of the project. She took on her responsibilities at full speed and showed unfailing energy! She is hard-working, rigorous, meticulous and has a taste for work well done.</t>
  </si>
  <si>
    <t>WHP</t>
  </si>
  <si>
    <t>TIAN HUI</t>
  </si>
  <si>
    <t>https://www.linkedin.com/in/hui-tian-17942715/</t>
  </si>
  <si>
    <t>CEO@OnlinePajak</t>
  </si>
  <si>
    <t>Mirana, Product Head</t>
  </si>
  <si>
    <t>Throughout her time with our organization, she demonstrated critical skills that would make her an excellent addition to your organization.</t>
  </si>
  <si>
    <t>No.</t>
  </si>
  <si>
    <t>Senior Associate, Public Relations</t>
  </si>
  <si>
    <t>Mathia Editha</t>
  </si>
  <si>
    <t>Be the guardian of the Secretlab brand through PR efforts to shape the strategic direction and play a key part in the overall branding and perception of the company.</t>
  </si>
  <si>
    <t>• At least 1-2 year’s experience in professional media relations or public relations.
• Exceptional proficiency in your written and spoken English.
• Strong brand storytelling fundamentals: Are you able to wow an audience with the story of our brand and the success of our products?
• Have strong news judgement and have/is able to build a strong network of relationships with journalists.
• Able to work in a fast-paced environment, while managing multiple high-profile projects.
• Perfectionist at heart with attention to detail.
• Passion for the gaming industry</t>
  </si>
  <si>
    <t>Andrew Hong, Co Founder @ Reco Real Estate</t>
  </si>
  <si>
    <t>Febriani Piscessa - Business Development</t>
  </si>
  <si>
    <t>https://secretlab.sg/pages/careers#id-10159</t>
  </si>
  <si>
    <t>Tanrio Satria Junuan</t>
  </si>
  <si>
    <t>RPA Developer</t>
  </si>
  <si>
    <t>PSA</t>
  </si>
  <si>
    <t>https://www.linkedin.com/in/tanrio-sj/</t>
  </si>
  <si>
    <t>Evan Septiawan</t>
  </si>
  <si>
    <t>Finance Accounting Lead (General Ledger)</t>
  </si>
  <si>
    <t>Cohive (PT Evi Asia Tenggara)</t>
  </si>
  <si>
    <t>https://www.linkedin.com/in/evan-septiawan-8945a097</t>
  </si>
  <si>
    <t>Senior Associate, Marketing Communications (Content)</t>
  </si>
  <si>
    <t xml:space="preserve">Take on your creative hat to strategize, plan and craft our branded content direction, delivering compelling editorials about Secretlab and our award-winning products through our global marketing and social media platforms. </t>
  </si>
  <si>
    <t>• Strong marketing fundamentals, with a flair for subtle sales copy: Are you able to wow an audience with the story of our brand and the success of our products?
• Working knowledge of all priority social platforms including Facebook, Instagram, YouTube, Twitter, Linkedin, and live streaming sites such as Twitch
• Exceptional proficiency in your written and spoken English
• A tactical mind in marketing/copywriting approach
• Able to work in a fast-paced environment, while managing multiple projects
• A perfectionist at heart with attention to detail</t>
  </si>
  <si>
    <t>https://secretlab.sg/pages/careers#id-10160</t>
  </si>
  <si>
    <t>Smita Tiwary</t>
  </si>
  <si>
    <t>Pilot Perfect Scale Specialist</t>
  </si>
  <si>
    <t>www.linkedin.com/in/smita-tiwary/</t>
  </si>
  <si>
    <t>Senior Back-End Developer</t>
  </si>
  <si>
    <t>Be our back-end wiz to develop and improve new and existing in-house solutions to better assist our team in achieving our business goals</t>
  </si>
  <si>
    <t>• Bachelor of Computing (Computer Science) or the equivalent
• Minimum of 3-6 years' working experience in a similar role
• Experience working on development of Order Management Systems, Inventory Management Systems, or other heavily customized backend systems.
• Disciplined and systematic work approach-able to handle timelines and multiple projects
• Resourceful and skilled in problem-solving with a flexible and adaptable work style
• Team player with the ability to thrive in a dynamic work environment
• Programming Languages:
  - SQL (MySQL, MS SQL Server)
  - PHP (CodeIgniter, Cake PHP, Laravel, WordPress are a plus)
  - Shopify (Theme, Liquid, Script, Ruby, and API)
  - JavaScript (jQuery)
  - Understand API, webhooks, AJAX</t>
  </si>
  <si>
    <t>https://secretlab.sg/pages/careers#id-10125</t>
  </si>
  <si>
    <t>Airbnb's Kum Hong</t>
  </si>
  <si>
    <t>Trudi Chong, Regional Operations Manager</t>
  </si>
  <si>
    <t>The rapid fire chat we had during Smita's interview left my eyeballs spinning and by the end of it I knew I needed someone with that energy and presence in my team. She has proven me right every day. I will miss looking for her face when I am presenting something in a meeting because she always made me feel so listened to.</t>
  </si>
  <si>
    <t>NIL. Singapore citizen</t>
  </si>
  <si>
    <t>Business Development/Partnership Manager</t>
  </si>
  <si>
    <t>www.linkedin.com/in/mathia-editha-1b475967</t>
  </si>
  <si>
    <t>Customer Service Associate</t>
  </si>
  <si>
    <t>Be an esteemed Secretlab Ambassador to deliver world class customer service experience to our community</t>
  </si>
  <si>
    <t>• This role requires someone who is innately customer-centric, passionate about creating great brand experience &amp; understands how customer engagement is crucial for the brand’s growth and loyalty.
  - Possess emotional maturity and passion for customer service
  - Decisive, action-oriented, results-focused, able to work independently and able to handle diverse situations.
  - Driven and customer-oriented and able with the ability to adapt/respond to different types of characters. You need to be tolerant, exhibit empathy and be patient.
• Possesses at least a Diploma/Advanced/Higher/Graduate Diploma in any field. Very strong proficiency in written and spoken English with excellent email writing and etiquettes.
• Able to communicate effectively on both technical and non-technical topics to customers and team members.</t>
  </si>
  <si>
    <t>Andrew Hong, Co-Founder @ Reco Real Estate</t>
  </si>
  <si>
    <t>Febriani Piscessa</t>
  </si>
  <si>
    <t>https://secretlab.sg/pages/careers#id-00106</t>
  </si>
  <si>
    <t>UM</t>
  </si>
  <si>
    <t>Chester Lum</t>
  </si>
  <si>
    <t>https://www.linkedin.com/in/chester-lum-2a18b2b7/</t>
  </si>
  <si>
    <t>Finance, Ops</t>
  </si>
  <si>
    <t>Kum Hong, Director Airbnb APAC</t>
  </si>
  <si>
    <t>Noor Loic Bin Satar</t>
  </si>
  <si>
    <t>Pilot Perfect Scale Specialist (Community and product support)</t>
  </si>
  <si>
    <t>https://www.linkedin.com/in/noor-loic-bin-satar-43713173</t>
  </si>
  <si>
    <t>Back End Developer for our product, Voleer</t>
  </si>
  <si>
    <t>4 years – 8 years of Back End Development
 Experience implementing and interfacing with APIs
 Proficiency in at least one scripting language such as PowerShell, JavaScript, Python 
 Proficiency in at least one strongly typed object-oriented programming language such as C#, Java, C++</t>
  </si>
  <si>
    <t>BitTitan</t>
  </si>
  <si>
    <t>https://www.bittitan.com/our-story/careers/careers-detail?gh_jid=2037040</t>
  </si>
  <si>
    <t>Clint, Recruiter, Airbnb</t>
  </si>
  <si>
    <t>Trudi, Regional Operations Manager</t>
  </si>
  <si>
    <t>Sarah-Jane Pollack</t>
  </si>
  <si>
    <t>Regional Precision Director</t>
  </si>
  <si>
    <t>https://www.linkedin.com/in/sarah-jane-pollack-88872028/</t>
  </si>
  <si>
    <t>Helen BuchanConnor</t>
  </si>
  <si>
    <t xml:space="preserve">Roger Lintzeris - Group Director UM </t>
  </si>
  <si>
    <t>Tiffany Dwi Putri</t>
  </si>
  <si>
    <t>Facility Coordinator</t>
  </si>
  <si>
    <t>http://linkedin.com/in/tiffany-dwi-putri-1b411095</t>
  </si>
  <si>
    <t>Erich Hirawan as a COO at Cohive Space</t>
  </si>
  <si>
    <t>Catarina Gita as a Cluster Facility Manager at Cohive Space</t>
  </si>
  <si>
    <t>I think they love work with me because i have good communication with clients. I can help everything client needs, handling complain, and i can be a friends with client. And i love work with clients because they are my moodboster. They can give me a lot of experience and i can much learn from them.</t>
  </si>
  <si>
    <t>Yolanda Safira</t>
  </si>
  <si>
    <t>Tenant Relation</t>
  </si>
  <si>
    <t>https://www.linkedin.com/in/yolanda-safira-662347150</t>
  </si>
  <si>
    <t>Software Support Technician</t>
  </si>
  <si>
    <t>L1 Customer support for our product, MigrationWiz to resolve customer inquiries and uphold the highest level of customer satisfaction through email and outbound phone support</t>
  </si>
  <si>
    <t>Must be flexible and available to be assigned to 5 days work week (working day might fall on Sat or Sun); 9 hours shift within 8AM - 9PM.
 1+ years of relevant experience in the IT industry: email/networking protocols, system administration, implementing troubleshooting or debugging tools OR Bachelor Degree in IT Field</t>
  </si>
  <si>
    <t>https://www.bittitan.com/our-story/careers/careers-detail?gh_jid=2172896</t>
  </si>
  <si>
    <t>Erich, CEO @ cohive</t>
  </si>
  <si>
    <t>Tiffany (facility coordinator)</t>
  </si>
  <si>
    <t>Yolanda is one of ops team who have a high responsibility, she always finished her job in a time before deadline. And also always helpful for others employee in the ops team.</t>
  </si>
  <si>
    <t>Putri Pratiwi</t>
  </si>
  <si>
    <t>http://linkedin.com/in/putri-pratiwi-075570183</t>
  </si>
  <si>
    <t>Euis Siti Aisyah, Product Manager @ pomona.id</t>
  </si>
  <si>
    <t>Azalea Pasaribu, Business Development</t>
  </si>
  <si>
    <t>Joshua Chin</t>
  </si>
  <si>
    <t>Boost International Pte Ltd</t>
  </si>
  <si>
    <t>www.linkedin.com/in/joshua-c-5268a743</t>
  </si>
  <si>
    <t>Marketing, Ops, HR, People, Talent, Design</t>
  </si>
  <si>
    <t>Creative Head, Creative Director</t>
  </si>
  <si>
    <t xml:space="preserve">Shariq Shabbir, Account Manager </t>
  </si>
  <si>
    <t>Sales Specialist, APAC</t>
  </si>
  <si>
    <t xml:space="preserve">Joshua is one of the best and fun people to work with. He is patient and in detail to his work. Working with a person that we can trust and knowing he will watch your back at the sametime is not many people today can provide. He always have a open heart to accept new and different things makes working with him is very easy.  His knowledge not only restrict to creative, he also are good at cost control, project management, marketing and presentation. He is a very people person, always taking care of his staff from their daily works to helping them on their personal development. </t>
  </si>
  <si>
    <t>Need Work Visa</t>
  </si>
  <si>
    <t>Euis Siti Aisyah, Product Manager @pomona.id</t>
  </si>
  <si>
    <t>Triptease</t>
  </si>
  <si>
    <t>You will provide timely and reliable assistance on sales calls alongside with Account Managers or Salesperson. We are seeking for a customer-oriented team player to drive revenue by technically enabling our customers on our cloud migration product.</t>
  </si>
  <si>
    <t>Minimum 3 years in pre-sales/post-sales technical sales roles
 Technical expert with a strong understanding of cloud-based products and SaaS applications
 Microsoft O365, Google G Suite, Azure, Exchange, Active Directory or SharePoint experience
 Knowledge of Powershell</t>
  </si>
  <si>
    <t>https://www.bittitan.com/our-story/careers/careers-detail?gh_jid=2186440</t>
  </si>
  <si>
    <t>Ashley Lo</t>
  </si>
  <si>
    <t xml:space="preserve">PR &amp; Marketing Executive </t>
  </si>
  <si>
    <t>Paktor Pte Ltd.</t>
  </si>
  <si>
    <t>https://www.linkedin.com/in/ashleylsy/</t>
  </si>
  <si>
    <t>Marketing, BD and Partnerships, Ops, Exec team, Design</t>
  </si>
  <si>
    <t>Yen Fen, Regional Digital Marketing Manager (Zouk At Sea)</t>
  </si>
  <si>
    <t xml:space="preserve">June Lim, Marketing Lead &amp; Regional PR Lead at Paktor </t>
  </si>
  <si>
    <t>Ashley kept an eagle eye on the numerous media partners and marketing agencies we worked with to ensure that they are on track to deliver results. I can always trust that Ashley has the company’s best interest in mind while working with these agencies. Ashley demonstrated her competence in PR and media relations as she was able to propose relevant ideas and themes, thereby securing media coverage of high visibility.</t>
  </si>
  <si>
    <t>Henry Huang</t>
  </si>
  <si>
    <t>Lead Creative Producer</t>
  </si>
  <si>
    <t>https://www.linkedin.com/in/henryandrewhuang/</t>
  </si>
  <si>
    <t>airbnb</t>
  </si>
  <si>
    <t>Jess Martin, Sr Marketing Manager @ Airbnb</t>
  </si>
  <si>
    <t xml:space="preserve">Working thiw Henry has been a career highlight - he's an absolute professional you can hand a job to and know that he will get it done on time, on budget and of immense quality. Henry seamlessly switches between hands on and creative ideation whilst also being an active member of the team and creative community. He develops relationships with people faster than anyone and quickly builds a rapport with people and groups across timezones, cultures and countries, getting the best out of people, always. </t>
  </si>
  <si>
    <t>Regina Gabriela</t>
  </si>
  <si>
    <t>Horangi Cybersecurity</t>
  </si>
  <si>
    <t>https://www.linkedin.com/in/reginagabriela/</t>
  </si>
  <si>
    <t>Traveloka Phils. Inc.</t>
  </si>
  <si>
    <t>Customer Success Manager, APAC</t>
  </si>
  <si>
    <t>Customer Success/Support for our product, Voleer including enablement, onboarding and technical support. KPI built on customer renewals and ROI.</t>
  </si>
  <si>
    <t>5 years+ of relevant experience with cloud service providers. Basic knowledge of Powershell.</t>
  </si>
  <si>
    <t>https://www.bittitan.com/our-story/careers/careers-detail?gh_jid=2157482</t>
  </si>
  <si>
    <t>Traveloka Philippines Inc.</t>
  </si>
  <si>
    <t>My friend, Alfritta</t>
  </si>
  <si>
    <t>Mike Leyden - VP of Revenue (Horangi), Lance Chua Customer Success Team Lead at Horangi</t>
  </si>
  <si>
    <t>"Regina is a team member anyone would be dying to have. Her deep passion for Customer Success is shown by the exemplary management of her Customers. To Regina, the Customer comes first, her deep passion for Customer Success is amplified by her cheerful personality which lifts the team to greater heights. It was an absolute pleasure to work alongside Regina."</t>
  </si>
  <si>
    <t>badea</t>
  </si>
  <si>
    <t>HR, Front end, UIUX, GraphicDesign Logo</t>
  </si>
  <si>
    <t>PT LG ELECTRONICS INDONESIA</t>
  </si>
  <si>
    <t>https://www.linkedin.com/in/badea-ilham-b2b2b4b6</t>
  </si>
  <si>
    <t>Traveloka Philippines</t>
  </si>
  <si>
    <t>Marketing, Data and analytics, HR, People, Talent, Design</t>
  </si>
  <si>
    <t>impact byte</t>
  </si>
  <si>
    <t>master/S2 suryadi</t>
  </si>
  <si>
    <t>innovation partner and leader</t>
  </si>
  <si>
    <t>im based on IND b1 to AS end working permit to europe, asian free visa just registration to BP2tki</t>
  </si>
  <si>
    <t>Andre Torres</t>
  </si>
  <si>
    <t>Sr. Manager, eCommerce Content Operations</t>
  </si>
  <si>
    <t>CreativeDrive</t>
  </si>
  <si>
    <t>https://www.linkedin.com/in/andretorres/</t>
  </si>
  <si>
    <t>Sales &amp; Marketing Manager</t>
  </si>
  <si>
    <t>Goals/Deliverables:
We’re looking for an experienced Salesperson and hands-on Marketer to join our ambitious and fast growing team. Your main focus will be to drive our marketing activities across all channels and filling COVE’s beautiful rooms with awesome tenants! The role requires a ‘can-do’, problem solving attitude to tackle the broad range of challenges we face as a young start-up.
Core Responsibilities:
To ensure COVE co-living rooms are booked in line with occupancy rate targets 
Work closely with the Head of Sales and Marketing on sales initiatives. 
Increase top of funnel tenant enquiries 
Drive funnel efficiency: improve conversion rates to property viewings and bookings
Develop a thorough understanding of the company’s service and each property.
Develop best in class sales practice using COVE brand values. 
Build strong brand and corporate partnerships
Ensure we deliver the requisite number of room bookings set out in business targets 
Leverage on our tech stack such as CRM software, viewings system and cross channel communication platform to engage leads, track sales performance and effectively close bookings.
Tracking sales goals and reporting results on a weekly basis
Provide ongoing feedback to drive continuous improvement for all teams.</t>
  </si>
  <si>
    <t xml:space="preserve">Experience and Qualifications Required: 
Essential 
2-3 years of experience in Sales &amp; Marketing role 
Experience in managing a team of 3-4 
Experience managing a budget 
Preferred 
Sales experience in real estate or hospitality
Knowledge or experience of CRM tools (eg. Hubspot)                                                                                                                       Core Skills/Competencies:
Proven sales track record with high success rate
Great spoken and written English 
Consumer empathy 
High drive for results
Ability to be flexible deal with ambiguity
Resourceful
High energy </t>
  </si>
  <si>
    <t>COVE</t>
  </si>
  <si>
    <t>Real Estate (Co-living)</t>
  </si>
  <si>
    <t>Layoffs.fyi</t>
  </si>
  <si>
    <t>Jakarta. Indonesia</t>
  </si>
  <si>
    <t>Steve Guillemette, Sr. Director eCommerce</t>
  </si>
  <si>
    <t xml:space="preserve">Andre has led many cross functional team projects for me globally as well as nationally. His ability to laser focus and organize is outstanding. Andre brings clarity and simplicity to any task given. Andre gets an A+ as a team member who provides results! </t>
  </si>
  <si>
    <t>www.cove.sg</t>
  </si>
  <si>
    <t>Jemmico</t>
  </si>
  <si>
    <t>Private Teacher and mostly Freelance Event Organizer</t>
  </si>
  <si>
    <t>Thousand Sunny PIK</t>
  </si>
  <si>
    <t>Jemmico Liong</t>
  </si>
  <si>
    <t>Data and analytics, HR, People, Talent</t>
  </si>
  <si>
    <t>Felita Carissa, Graphic Designer Freelance</t>
  </si>
  <si>
    <t>Ivan Lee</t>
  </si>
  <si>
    <t>UI/UX Desginer</t>
  </si>
  <si>
    <t>Aspire SEA</t>
  </si>
  <si>
    <t>https://www.linkedin.com/in/ivanleetekzhung/</t>
  </si>
  <si>
    <t>Cindy Wijaya, Relationship Manager @ Aspire</t>
  </si>
  <si>
    <t>Tran Huyen Trang (Tira)</t>
  </si>
  <si>
    <t>sonali@cove.sg</t>
  </si>
  <si>
    <t>Product head</t>
  </si>
  <si>
    <t>Christina's</t>
  </si>
  <si>
    <t>https://www.linkedin.com/in/huyen-trang-tran-tira-9baa7325/</t>
  </si>
  <si>
    <t>Travelodge Hotels Asia</t>
  </si>
  <si>
    <t>I found this form by myself :)</t>
  </si>
  <si>
    <t>Community &amp; Site Manager</t>
  </si>
  <si>
    <t>Minh Le,  TitleChief Product Officer, minhle2100@gmail.com</t>
  </si>
  <si>
    <t>Being a product owner, she was quick to grasp a good understanding of the business and the market, making a significant contribution in defining the product vision. As a leader, she was transparent, communicating all directions and plans to the team with clear reasons and evidence. Her thinking is well-structured and easy to follow. As crazy as a start-up environment could be, she consistently stayed positive and played a good role in fostering an environment that inspires others.</t>
  </si>
  <si>
    <t xml:space="preserve">I have Dependant's Pass in Singapore. I am dependant of Employment Pass holder, so I will need a Letter of Consent to work in Singapore </t>
  </si>
  <si>
    <t>Goals/Deliverables:
We’re looking for an experienced community manager to join our ambitious and fast growing team. Your main focus will be to support COVE's facilities and improve tenant's experience.
Core Responsibilities:
Provide support to effectively maintain buildings and continually improving tenant’s experience
Illustrate the Cove core values and strive to achieve our standard of operation
Manage bookings, check in and check out
Act as the liaison between the Building Management team and the Facility Management team for any escalated issues
Schedule facilities staff to achieve the most optimal labor time/cost ratio
Work with service contractors &amp; Facilities Leads to schedule as needed
Prioritize daily facility issues and effectively delegate responsibilities</t>
  </si>
  <si>
    <t>Fernando Jonathan Setiono Jaya</t>
  </si>
  <si>
    <t xml:space="preserve">Experience and Qualifications Required
Essential
Min 2-3 years experiences in managing accounts in E-commerce/OTA/Hospitality sector
Bachelor Degree in any major 
Preferred
Experience in Hospitality sector
Experience in high growth startup environment
Core Skills/Competencies:
Good negotiation, communication and relationship building skills
Consumer empathy
High drive for results
Ability to be flexible deal with ambiguity
Resourceful
High energy </t>
  </si>
  <si>
    <t>https://www.linkedin.com/in/fernando-jonathan/</t>
  </si>
  <si>
    <t>Achmad Reza Dwi Atmaja, CEO @ Accelerice Indonesia</t>
  </si>
  <si>
    <t>Lesley Renton - Assistant Vice President Marketing</t>
  </si>
  <si>
    <t>I worked with Fernando at Travelodge Asia. I really enjoyed working with Fernando as his direct report. Fernando always supported our company concerning the development of social media marketing and multichannel content creation with the effectiveness of social media marketing as a brand communication channel.</t>
  </si>
  <si>
    <t>S-Pass (Indonesian Nationality)</t>
  </si>
  <si>
    <t>Thesany Margaretta</t>
  </si>
  <si>
    <t>Overseas Sales Executive</t>
  </si>
  <si>
    <t>New Chien Te Hang Co Ltd</t>
  </si>
  <si>
    <t>http://linkedin.com/in/thesany-margaretta-50881211a</t>
  </si>
  <si>
    <t>Business Development Analyst/Manager</t>
  </si>
  <si>
    <t>Vania Josephinst, UI ux designer, @Modana</t>
  </si>
  <si>
    <t>Role Purpose:  The Business Development Analyst/Manager will play a key role in the end to end process of closing deals for COVE’s business expansion. 
Core Responsibilities:·   
.      Source real estate opportunities, conduct site feasibility, market and pricing analysis
·   Conduct pro-forma financial projections and analysis
·   Lead structuring and preparation of proposals to counterparty
·   Lead negotiations and legal documentation process
·      Assist with project management of signed deals that require refurbishment works
·      Identify new sub-markets for business growth
·      Build and maintain relationships with investment partners, owners and service providers</t>
  </si>
  <si>
    <t>Skills/Experience required:
·      Tertiary qualified in Real Estate, Business, Economics or a related field
·      Around 2-4 years of working experience in real estate
·      End to end deal transaction experience from leading due diligence to legal documentation
·      Strong preference for candidates with local market knowledge of the residential and/or hospitality landscape as well as candidates with strong existing network (across agents, landlords and developers) to source for real estate opportunities
·      Good business acumen and knowledge of current business trends
·      Team player with good communication and interpersonal skills
·      Analytical, detailed oriented, creative problem solver
·      Organized and able to prioritize tasks to accomplish them effectively
·      Proficient in Microsoft Excel and Powerpoint</t>
  </si>
  <si>
    <t>www.cove.sg/careers</t>
  </si>
  <si>
    <t>Alexander Arrefelt</t>
  </si>
  <si>
    <t>General Manager</t>
  </si>
  <si>
    <t>SeenThis</t>
  </si>
  <si>
    <t>https://www.linkedin.com/in/alexander-arrefelt-57580b27/</t>
  </si>
  <si>
    <t>Digital Marketer</t>
  </si>
  <si>
    <t>Marketing, Sales, Exec team</t>
  </si>
  <si>
    <t>Ashwin Chandoesing, Vice President APAC &amp; China @ indaHash</t>
  </si>
  <si>
    <t>Harri Bick, Agency Lead APAC @ SeenThis</t>
  </si>
  <si>
    <t>In need for an EP, will be based in Singapore until 11 August</t>
  </si>
  <si>
    <t>Martin Hansen</t>
  </si>
  <si>
    <t>OxfordCaps Pte Ltd</t>
  </si>
  <si>
    <t>https://www.linkedin.com/in/mugdhaagrawal/</t>
  </si>
  <si>
    <t>At Quadrant, we are data company; our main product line is mobile location data feeds. Your role will be to develop quality content and help develop our brand. You will also work on marketing activities, including content writing, social media, e-mail, SEO and SEM. Additionally, Quadrant is a fast-paced growth company, therefore a can-do mindset, flexibility, and ability to problem solve quickly will be key.</t>
  </si>
  <si>
    <t>• Digital Marketing
 • Social Media Management
 • Writing and editing skills
 • Content Creation
 • Content Management
 • Search Engine Optimisation
 • Search Engine Marketing
 • Understanding the Customer
 • Self-Starter</t>
  </si>
  <si>
    <t>Simon Vincent</t>
  </si>
  <si>
    <t>Business Devepment Senior Associate</t>
  </si>
  <si>
    <t>OCI</t>
  </si>
  <si>
    <t>Quadrant</t>
  </si>
  <si>
    <t>https://www.linkedin.com/in/simon-vincent-6ab88859/</t>
  </si>
  <si>
    <t>Data-as-a-Service (Infocom)</t>
  </si>
  <si>
    <t>https://www.mycareersfuture.sg/job/marketing/digital-marketer-quadrant-global-a406b44b0ac7be5f9b985133870cc346</t>
  </si>
  <si>
    <t>Massie Lo</t>
  </si>
  <si>
    <t>Erichson Sihotang</t>
  </si>
  <si>
    <t>https://www.linkedin.com/in/erichson-sihotang</t>
  </si>
  <si>
    <t>Linkeldn</t>
  </si>
  <si>
    <t>Dhaval Shah</t>
  </si>
  <si>
    <t>Chief Commercial Officer - ASEAN</t>
  </si>
  <si>
    <t>Honeywell</t>
  </si>
  <si>
    <t>Tiket.com</t>
  </si>
  <si>
    <t>https://www.linkedin.com/in/dhavalshahisb/</t>
  </si>
  <si>
    <t>Nad@quadrant.io</t>
  </si>
  <si>
    <t>Santosh Reddy, Director @ Capillary</t>
  </si>
  <si>
    <t>Curtis Edgecombe, General Manager ASEAN</t>
  </si>
  <si>
    <t>Dhaval Is not afraid to question the status quo and to seek alternate options to improve business operations, productivity and profitability. He has a strong growth mentality which lead to double digit growth in sales revenue during his tenure as my colleague.. Typically one of the smartest people in the room, Dhaval has the ability to learn quickly and to adapt to new situations and challenges, making him a strong candidate to take on complex and wide reaching roles.</t>
  </si>
  <si>
    <t xml:space="preserve">Need Work Visa to be sponsored </t>
  </si>
  <si>
    <t>Sri Yatmo</t>
  </si>
  <si>
    <t>GREM, Procurement and Administration Manager</t>
  </si>
  <si>
    <t>DB Schenker</t>
  </si>
  <si>
    <t>https://www.linkedin.com/in/sriyatmo/</t>
  </si>
  <si>
    <t>Java Web Developer</t>
  </si>
  <si>
    <t>Our company is headquartered in Seoul, South Korea and we also have a branch in Jakarta, Indonesia. 
 You can choose to work in either location, your working visa will be provided if you choose to work in Seoul, South Korea. - You will be working on system which is developed in Spring MVC.
 - This position is purely on the backend since we have designers and front-end developers working on another team.
 - Since you will communicate with another engineers from different countries, English proficiency is a must.
 - Don't worry if you are not a rockstar developer, we have enough of them already</t>
  </si>
  <si>
    <t>- Fluent in English
 - Able to adapt quickly 
 - A bachelor degree with at least 2 years of experience or a Master degree if you choose to work in Seoul (Visa Requirement)
 - You know Java and Spring</t>
  </si>
  <si>
    <t>eWIDEPLUS</t>
  </si>
  <si>
    <t>Ng Shi Heng</t>
  </si>
  <si>
    <t>Seoul, South Korea
 Jakarta, Indonesia</t>
  </si>
  <si>
    <t>Adgo</t>
  </si>
  <si>
    <t>https://www.linkedin.com/in/shihengng/</t>
  </si>
  <si>
    <t>http://ewideplus.com/</t>
  </si>
  <si>
    <t>Brian de Heus, CTO @ Adgo</t>
  </si>
  <si>
    <t>Brian de Heus, CTO of Adgo</t>
  </si>
  <si>
    <t>Require Visa Sponsorship</t>
  </si>
  <si>
    <t>Peyton Tian Yan Ong</t>
  </si>
  <si>
    <t>Product Manger, UX</t>
  </si>
  <si>
    <t>MyMy and Workana</t>
  </si>
  <si>
    <t>https://www.linkedin.com/in/peytontian-yan/</t>
  </si>
  <si>
    <t>guhya@ewideplus.com</t>
  </si>
  <si>
    <t>Sales, BD and Partnerships, Product, Design</t>
  </si>
  <si>
    <t>Found on Google Search</t>
  </si>
  <si>
    <t>Maico Perez , International Business Development</t>
  </si>
  <si>
    <t>"Peyton has the special ability to turn large projects into a series of ruthless, documented executions. Unfazed by deadlines and challenges, Peyton is a self-starter capable of owning and completing multiple tasks at a time."</t>
  </si>
  <si>
    <t xml:space="preserve">Would apply for employment pass when a job is available. </t>
  </si>
  <si>
    <t>Dheantri Trisna</t>
  </si>
  <si>
    <t>Project Support</t>
  </si>
  <si>
    <t>https://www.linkedin.com/in/dheantri-trisna-9a6a72169/</t>
  </si>
  <si>
    <t>Our company is headquartered in Seoul, South Korea and we also have a branch in Jakarta, Indonesia. 
 You can choose to work in either location, your working visa will be provided if you choose to work in Seoul, South Korea. - Since you will communicate with another engineers from different countries, English proficiency is a must.
 - Don't worry if you are not a rockstar developer, we have enough of them already
 - We need mobile application developers who can get the work done, in time, as required by our clients</t>
  </si>
  <si>
    <t>- Fluent in English
 - Able to adapt quickly 
 - A bachelor degree with at least 2 years of experience or a Master degree if you choose to work in Seoul (Visa Requirement)
 - Android Programming</t>
  </si>
  <si>
    <t>Marketing, Sales, Product, Accounting, Data and analytics, HR, People, Talent, Design</t>
  </si>
  <si>
    <t>Daviatri Apsariputri @ Boston Consulting Group</t>
  </si>
  <si>
    <t>Rohit Taksande</t>
  </si>
  <si>
    <t>Zonal Business Manager</t>
  </si>
  <si>
    <t>Shemaroo Entertainment Ltd</t>
  </si>
  <si>
    <t>linkedin.com/in/rohit-taksande-758107127</t>
  </si>
  <si>
    <t>Mrs Rashmi</t>
  </si>
  <si>
    <t>Shruti Shah-National Head</t>
  </si>
  <si>
    <t>Would be required</t>
  </si>
  <si>
    <t>Jishna Bole</t>
  </si>
  <si>
    <t>Freelancer</t>
  </si>
  <si>
    <t>IOS Developer</t>
  </si>
  <si>
    <t>Panipurizz</t>
  </si>
  <si>
    <t>www.linkedin.com/in/jishnabole/</t>
  </si>
  <si>
    <t>- Fluent in English
 - Able to adapt quickly 
 - A bachelor degree with at least 2 years of experience or a Master degree if you choose to work in Seoul (Visa Requirement)
 - IOS Programming</t>
  </si>
  <si>
    <t>Through websute</t>
  </si>
  <si>
    <t>Kapil Krishan, Physicist, Beauty Measurement Sciences Organisation</t>
  </si>
  <si>
    <t xml:space="preserve">Julie Vassaux </t>
  </si>
  <si>
    <t>Sales and Business Development Manager</t>
  </si>
  <si>
    <t>Pro-Data LGI</t>
  </si>
  <si>
    <t>www.linkedin.com/in/julie-vassaux</t>
  </si>
  <si>
    <t>- Development language: PHP &amp; Golang
- Responsible for the architecture design, development
- Research and explore improvement of the architecture to delivery the large scale, high performance trading solutions.</t>
  </si>
  <si>
    <t>- Degree in Computer Science or relevant fields
- 3-5 years experience in LAMP development, experience in high concurrency and transaction related system development is highly preferred
- Proficient in at least one of PHP or Golang
- Knowledge in HTTP, WebSocket, TCP / IP protocols
- Familiar with the principles of Unix / Linux operating system and skilled in using shell tools
- Proficient in MySQL and Oracle databases and SQL tuning/optimization;
- Familiarity with common open source middleware such as NoSql, MQ
- Good problem solving skills, team player and able to work independently driven</t>
  </si>
  <si>
    <t>Bybit</t>
  </si>
  <si>
    <t>Sahil Primalani @ GFC</t>
  </si>
  <si>
    <t>Vincent Perriez-Trudov, CEO @ Pro-Data LGI</t>
  </si>
  <si>
    <t xml:space="preserve">Employment Pass required </t>
  </si>
  <si>
    <t>https://www.wantedly.com/projects/453210</t>
  </si>
  <si>
    <t>Texas Instruments</t>
  </si>
  <si>
    <t>Sarah Kajani</t>
  </si>
  <si>
    <t>Regional Content, Social &amp; Engagement Lead</t>
  </si>
  <si>
    <t>SEEK Asia</t>
  </si>
  <si>
    <t>https://www.linkedin.com/in/kajani/</t>
  </si>
  <si>
    <t>Apply through URL</t>
  </si>
  <si>
    <t>Firdaus Al-Asedi, Country Manager @ Lendela</t>
  </si>
  <si>
    <t>Terminal 1 Limited</t>
  </si>
  <si>
    <t>Work Visa required</t>
  </si>
  <si>
    <t>Anita Nugroho</t>
  </si>
  <si>
    <t>Food Safety Hygiene Manager</t>
  </si>
  <si>
    <t>Marriott International - The Westin Jakarta</t>
  </si>
  <si>
    <t>- Developing &amp; maintaining website performance, including desktop and mobile functions
- Working closely with ourShanghai operations team to ensure smooth functioning of operations
- Supporting and implementation of CRM systems and requesting functions from customer operation center
- Development and maintenance of our chat-rooms/forums
- Support other internal teams with any ad-hoc technical issues and provide relevant solutions</t>
  </si>
  <si>
    <t>https://www.linkedin.com/in/anita-nugroho-b7b11688/</t>
  </si>
  <si>
    <t>- Minimum two years with HTML / CSS / Javascript, proficient in ES6 syntax
- Experience with one of the MVVM frameworks (Vue.js / React.js is preferred), familiarity with their technology ecosystems
- Candidate with Next.js or Nuxt.js experiences are highly desired
- Practical experiences in front-end performance optimization and SEO
- Familiarity with HTTP, understanding of the life cycle of a HTTP request
- Proficient in at least one back-end language, node.js, PHP, go, etc
- Ability to complete the setup of complex front-end module design and system architecture independently in a timely fashion
- Good understanding and on-the-job experiences in enhancing user experience and interactive operation processes
- Team player with good communication skills</t>
  </si>
  <si>
    <t>https://www.wantedly.com/projects/453396</t>
  </si>
  <si>
    <t>Techsauce Global Summit</t>
  </si>
  <si>
    <t>Mirandarose @Bobobox</t>
  </si>
  <si>
    <t>Mirandarose - HR Talent Acquisition Bobobox</t>
  </si>
  <si>
    <t>Fadilah sIDEK</t>
  </si>
  <si>
    <t>https://www.linkedin.com/in/fadilah-sidek-20783793/</t>
  </si>
  <si>
    <t>Marketing, Sales, Product, Finance, Ops, Data and analytics</t>
  </si>
  <si>
    <t>nil</t>
  </si>
  <si>
    <t>Josephine Yeo, VP of CSM</t>
  </si>
  <si>
    <t>Jimmy Lim, Sales team manager</t>
  </si>
  <si>
    <t>Pawan</t>
  </si>
  <si>
    <t>ipaymy</t>
  </si>
  <si>
    <t>Anti-Abuse Program Manager, Trust &amp; Safety</t>
  </si>
  <si>
    <t>https://www.linkedin.com/in/pawansg/</t>
  </si>
  <si>
    <t>- Work closely with cross-functional partners (content policy, product management, data analytics, operations, engineering, algorithm) to identify, assess and resolve investigation issues in our products, promote community well-being and user safety with optimization of product features and product strategy.
- Plan and manage complex investigative-related projects from problem definition to final execution and global localization; optimize the process and procures to ensure timely and effective delivery.</t>
  </si>
  <si>
    <t>Requirements:
- 5+ years of experience in relevant fields (Data Analysis, Research, Risk and Forensics Investigation, Internet Industry, etc)
- BS/MS or equivalent experience in management, psychology, behavioral sciences, technical, or engineering field. Management consulting work experience preferred
Preferred:
- Investigative background at the nexus of data analytics and attribution analysis, with experience in data-driven decision-making
- Experienced with creating metrics to measure the performance of models, building dashboards, and reporting
- Experienced in Policy/Operations/Program management leadership</t>
  </si>
  <si>
    <t>TikTok</t>
  </si>
  <si>
    <t>https://job.toutiao.com/s/Kn1H5H</t>
  </si>
  <si>
    <t>Catherine Szulyk - Head of Operations</t>
  </si>
  <si>
    <t>Pawan is a creative problem solver and is able to maintain strong relationships with customers.</t>
  </si>
  <si>
    <t>Ian Dorrity</t>
  </si>
  <si>
    <t>VP Sales, Strategy &amp; Operations</t>
  </si>
  <si>
    <t>DancindMind (Surge'19, Sequoia Capital)</t>
  </si>
  <si>
    <t>https://www.linkedin.com/in/iandorrity/</t>
  </si>
  <si>
    <t>Amanda, Ops Manager @ DancindMind</t>
  </si>
  <si>
    <t>Product Operation Specialist</t>
  </si>
  <si>
    <t>1. Responsible for the internal business work-flow optimization, optimize or reinvent internal business processes by collecting and analyzing problems in business implementation.
2. Responsible for the collection of requirements of the tool platform, follow-up on-line and test, and improve the performance and efficiency of the platform from the business line perspective.
3. Responsible for moderation strategy operation and optimization of a local market safety strategy.</t>
  </si>
  <si>
    <t xml:space="preserve">Amanda Lee, Senior Manager </t>
  </si>
  <si>
    <t>1. Bachelor degree or above, 2-4 years of experience in a related role.
2. Good logical and structural thinking, ability to work under pressure and manage to deadlines.
3. Strong project management ability, strong communication ability, and project coordination ability, able to cooperate with multiple teams to complete the set of work goals.</t>
  </si>
  <si>
    <t xml:space="preserve">(from LinkedIn recommendation) I had the privilege of working under Ian at DancingMind's Sales and Marketing in 2020. Armed with his extensive knowledge and experience, Ian has tremendous vision and insight. In a very short time he was able to understand the business and what its priorities should be.  He is not merely good at big picture strategy, but also is great at execution. He led our team well by directing us in practical steps in the sales and marketing funnel. This ran the gamut from sales prospecting and deal closing, to social media campaigns.  To top off all the day-to-day tasks, Ian put thought into developing company culture, and improved it through setting an example and tone of patience, kindness and trust.  Ian is a leader whom people would be glad to follow, and he will be an asset in any organisation, as he creates an atmosphere of trust and makes things happen! </t>
  </si>
  <si>
    <t>https://job.toutiao.com/s/Kttv3f</t>
  </si>
  <si>
    <t xml:space="preserve">Rachael Jacob </t>
  </si>
  <si>
    <t>Senior Digital Marketing Manager SEAA</t>
  </si>
  <si>
    <t xml:space="preserve">Shangri-La Group Hotels &amp; Resorts </t>
  </si>
  <si>
    <t xml:space="preserve">Rachael Shana </t>
  </si>
  <si>
    <t xml:space="preserve">Ian Dorrity, VP Sales </t>
  </si>
  <si>
    <t>Kamalakannan Sankaran</t>
  </si>
  <si>
    <t>Hitachi Consulting</t>
  </si>
  <si>
    <t>http://linkedin.com/in/kamalakannansankaran</t>
  </si>
  <si>
    <t>Data Analyst, Trust &amp; Safety</t>
  </si>
  <si>
    <t>1. Drive quantitative analysis projects from start to finish regarding Trust &amp; Safety issues by developing BI metrics and analytical frameworks and all aspects of data analysis, and distil the complex results into clear and concise insights; 
2. Deliver data support for long term business development plan from both strategic scope and execution aspects with in-depth business analysis, industry studies and market trends;</t>
  </si>
  <si>
    <t>1. BA/BS in Math, Economics, Statistics, or other quantitative fields
2. 2+ years of work experience doing quantitative analysis
3. Ability to synthesize and communicate complex concepts and analyses in easy to understand ways
4. Expert experience pulling large and complex data using SQL
5. Experience with a data visualization tool (e.g. Mode Analytics/Chartio/Tableau)
6. Familiarity with web analytics tools (e.g. Google Analytics/Adobe Analytics/Amplitude)
7. Excellent verbal and written communication skills</t>
  </si>
  <si>
    <t>https://job.toutiao.com/s/Kn8Pr6</t>
  </si>
  <si>
    <t>Citra Putriana Basuki</t>
  </si>
  <si>
    <t>https://www.linkedin.com/in/citra-putriana-basuki-189217114</t>
  </si>
  <si>
    <t>Taraph Technologies</t>
  </si>
  <si>
    <t>COO @ Docotel Group</t>
  </si>
  <si>
    <t>Febby Oktaviani</t>
  </si>
  <si>
    <t>Citra is adorable coWorker, She is eager to learn new things. She is very detail oriented, communicative, has critical thinking, and a great team work</t>
  </si>
  <si>
    <t>V B</t>
  </si>
  <si>
    <t>Director of Product Policy, Asia</t>
  </si>
  <si>
    <t>Manager Advanced Analytics</t>
  </si>
  <si>
    <t>RESPONSIBILITIES:
1. Craft content policies for a global community on Bytedance platforms with a focus on the Asia markets;
2. Collaborate with Global Public Policy, Product, Operations, Legal, and Public Relations teams to build consensus on and improve content policies, and streamline our policies and processes around the enforcement of our platform policies and other business product policies;
3. Help articulate, interpret and implement content policies externally and internally;</t>
  </si>
  <si>
    <t>www.linked.com/bhatiavarun</t>
  </si>
  <si>
    <t>MINIMUM QUALIFICATIONS:
1. Bachelors degree in Public Policy or Law related field;
2. 8-10 years of experience in policy, policy enforcement, or public policy, specifically regarding technology/social media/content;
3. Experience with international Internet/social media/content issues.
PREFERRED QUALIFICATIONS:
1. Advanced degree in a related field;
2. Experience working at a tech company;
3. Experience as a team leader.</t>
  </si>
  <si>
    <t>https://job.toutiao.com/s/KtomQq</t>
  </si>
  <si>
    <t>Marketing, Sales, Engineering, Product, Data and analytics</t>
  </si>
  <si>
    <t>Punit Singh</t>
  </si>
  <si>
    <t>gervaise.pechler@tiktok.com</t>
  </si>
  <si>
    <t>Mohammad Aarzoo</t>
  </si>
  <si>
    <t>MetroGuild</t>
  </si>
  <si>
    <t>https://www.linkedin.com/in/md-hassan-aarzoo-44613554/</t>
  </si>
  <si>
    <t>Quality Assurance Lead</t>
  </si>
  <si>
    <t>Lead a team of QA Analysts.
- Work with Training Team to align Policy understanding of QA and moderation teams.
- Work closely with Operation Team in order to provide feedback on quality.</t>
  </si>
  <si>
    <t>- Minimum 3-year working experience as a Quality Assurance Analyst/Senior Team Lead.
- Experience in working in a BPO/call center/customer service environment.
- Experience in Content Moderation/Content Quality/Content Safety will be an added advantage.</t>
  </si>
  <si>
    <t>Kuala Lumpur</t>
  </si>
  <si>
    <t>https://job.toutiao.com/s/KtEJux</t>
  </si>
  <si>
    <t>Vera Neo</t>
  </si>
  <si>
    <t>Designer (Asia)</t>
  </si>
  <si>
    <t>Leisure Pass Group</t>
  </si>
  <si>
    <t>https://www.linkedin.com/in/veraneo/</t>
  </si>
  <si>
    <t>Dawn Jeremiah @ Leisure Pass Group</t>
  </si>
  <si>
    <t>Responsibilities
 - Manage and maintain the brand identity to make sure they best represent the brand ethos
 - Produce and manage the creative strategy across branding, digital marketing, social media, offline ads and content by collaborating across cross-functional teams
 - Art-direct and produce creative visuals based on a coherent brand strategy across all channels including website, social media, print, and so on. Be responsible for overall design quality and consistency across all deliverables 
 - Manage campaign budgets and deliver outstanding campaigns both online and offline
 - Oversee the recruitment, development and management of writers, designers, photographers, videographers, editors, and animators</t>
  </si>
  <si>
    <t>Across the organisation, Vera has worked with multiple stakeholders including EVPs, VPs, designers, e-commerce managers, marketing and product managers alike. She brings many localised ideas to the table along with practical executions. As a designer, she is uniquely style-agnostic and adapts easily to any product, visual reference or cultural nuance.</t>
  </si>
  <si>
    <t>Requirements
 - At least 5 years of experience in a creative role
 - Strong creative vision with a deep understanding of brand strategy and superb sense of aesthetics 
 - Outstanding knowledge of the digital creative process, from strategy, conceptualization, user research to graphic design and best practices.
 - Extensive experience with Adobe Creative Suite
 - Ability to work under pressure and tight deadline</t>
  </si>
  <si>
    <t>The Balance Company</t>
  </si>
  <si>
    <t>Consumer Brand</t>
  </si>
  <si>
    <t>yash desai</t>
  </si>
  <si>
    <t>Singapore/China</t>
  </si>
  <si>
    <t>Pi techniques pvt ltd</t>
  </si>
  <si>
    <t>https://www.linkedin.com/in/yash-desai-1258b4106/</t>
  </si>
  <si>
    <t>www.thebalanceco.com</t>
  </si>
  <si>
    <t>Medium Article</t>
  </si>
  <si>
    <t>Gaurav Toksha</t>
  </si>
  <si>
    <t>hiring@thebalanceco.com; 84205238</t>
  </si>
  <si>
    <t>Design and Marketing</t>
  </si>
  <si>
    <t>Responsibilities 
 - Assist with shaping our communication design language, systems and guidelines
 - Create assets for every imaginable environment (digital, social, in-store and etc.)
 - Design creatives in every medium: print, email, digital, and video
 - Work closely with marketing to ensure communications across various channels remain consistent and align with the brand strategy
 - Contribute wherever needed</t>
  </si>
  <si>
    <t>Requirements
 - A self-starter with roll-up-your-sleeves attitude
 - Pixel-perfect attitude; extremely high attention to detail
 - A portfolio of strong communication design work that shows both an excellent visual design sense and also a user-centered process
 - Expertise with Creative Suite (and other Design tools)
 - Fluency in working with all trending social media channels
 - Ability to create imaginative GIFS, edit video
 - Ability to create hand-drawn art and convert to vector</t>
  </si>
  <si>
    <t>Prashanth Rao</t>
  </si>
  <si>
    <t>Service Delivery Manager</t>
  </si>
  <si>
    <t>eBay</t>
  </si>
  <si>
    <t>https://www.linkedin.com/in/raoprashanth/</t>
  </si>
  <si>
    <t>timesofindia.com</t>
  </si>
  <si>
    <t>Ashish Singru , Director eBay</t>
  </si>
  <si>
    <t>Good Management and Technical Skills</t>
  </si>
  <si>
    <t>Moch. Zamroni</t>
  </si>
  <si>
    <t>Frontend Web Developer</t>
  </si>
  <si>
    <t>Responsibilities
 - Define marketing strategy and develop highly engaging, strategically focused campaigns campaigns to drive traffic to and revenue on our website and retail stores
 - Drive strategic development of customer journey planning, audience segmentation, marketing technology stack, media planning and buying strategies, and reporting and analytics
 - Develop marketing success criteria, with tracking &amp; readout against goals done on a weekly basis. Evaluate funnel conversion, repeat and penetration rates, and engagement metrics and provide recommendations for continuous improvement of metrics</t>
  </si>
  <si>
    <t>https://www.linkedin.com/in/pakzam/</t>
  </si>
  <si>
    <t>Requirements:
 - Experience in driving results in digital marketing
 - Highly motivated individual willing to be flexible and adapt to changing requirements when needed
 - Have a deep understanding of brand strategy and consumer insights
 - Candidates must have strong critical-thinking and problem-solving skills</t>
  </si>
  <si>
    <t>Jason Leung</t>
  </si>
  <si>
    <t>Head of Strategic Partnerships</t>
  </si>
  <si>
    <t>Google</t>
  </si>
  <si>
    <t>https://www.linkedin.com/in/likman/</t>
  </si>
  <si>
    <t>Greater China</t>
  </si>
  <si>
    <t xml:space="preserve">Ari Fadyl, Google Singapore </t>
  </si>
  <si>
    <t>No required</t>
  </si>
  <si>
    <t>Diky Aprianto</t>
  </si>
  <si>
    <t>BD and Partnership/Operation Manager</t>
  </si>
  <si>
    <t>PT Akulaku Silvrr Indonesia</t>
  </si>
  <si>
    <t>https://www.linkedin.com/in/dikyapriantotaher93/</t>
  </si>
  <si>
    <t>Software Developer</t>
  </si>
  <si>
    <t>Responsibilities: 
- Translate a concept or requirement into code that is compliant to the company’s standard, is scalable and efficient 
- Provide regular updates to the management; highlight the obstacles and your suggestions to your supervisor 
- Design highly scalable, testable code - Discover and fix programming bugs 
- Willing to learn the technologies and frameworks adopted by the company</t>
  </si>
  <si>
    <t>Citra,Employee Traveloka.com</t>
  </si>
  <si>
    <t>Mujaheed Kapadia</t>
  </si>
  <si>
    <t>procurement and logistic operation manager</t>
  </si>
  <si>
    <t>Rolltek engineering works llc</t>
  </si>
  <si>
    <t xml:space="preserve">Requirements:
Bachelor's degree or equivalent experience in Software Engineering or related field.
2-5 years of experience working in software development.
Experienced in RDBMS like MySQL, Oracle.
Experienced in backend technology like Java.
Experienced in frontend technology like Ionic 4, Angular 7++, NodeJS.
Experienced in API development and web service technology like SOAP, REST.
Experience with unit testing.
Able to communicate and collaborate effectively.
Able to communicate in English.
Added Advantages: 
Experience in CI CD tools like Jenkins etc. 
Experience in Cloud Technology like AWS, Ali Cloud, GCP etc 
Experience in Docker, Kubernetes etc 
Experience in NoSQL like MongoDB, AWS DynamoDB, Firebase Store etc. 
Experience in using Spring framework like Spring Boot, Spring Cloud etc 
Experience with developing cordova plugins. 
Working with ELK Stack
</t>
  </si>
  <si>
    <t>https://www.linkedin.com/in/mujaheedkapadia/</t>
  </si>
  <si>
    <t>StubHub (former eBay subsidiary)</t>
  </si>
  <si>
    <t>Cash in asia</t>
  </si>
  <si>
    <t>Singapore,Malaysia</t>
  </si>
  <si>
    <t>cashinasia.com</t>
  </si>
  <si>
    <t>BD and Partnerships, Engineering, Ops, Exec team</t>
  </si>
  <si>
    <t>kelly fung</t>
  </si>
  <si>
    <t>Mr ZAKIR HUSSAIN KHAMBATTY  00917863964786 / khambatyzn@gmail.com...... Managing Director</t>
  </si>
  <si>
    <t>He was my reporting boss, a wonderful person to work with.</t>
  </si>
  <si>
    <t>i will need a employment visa</t>
  </si>
  <si>
    <t>Saiem Amer Bajwa</t>
  </si>
  <si>
    <t xml:space="preserve">Artefact </t>
  </si>
  <si>
    <t>https://www.linkedin.com/in/saiemamer/</t>
  </si>
  <si>
    <t>hussam.makdad@cashinasia.com</t>
  </si>
  <si>
    <t>Nadine Yong</t>
  </si>
  <si>
    <t>I'm an expat and would require Visa Sponsorship for working.</t>
  </si>
  <si>
    <t>Chua Li Min</t>
  </si>
  <si>
    <t>Regional Operations Manager</t>
  </si>
  <si>
    <t>https://www.linkedin.com/in/lmnch</t>
  </si>
  <si>
    <t>General Counsel</t>
  </si>
  <si>
    <t>・Advising executive, senior management and board on various matters such as legal rights, and new and existing laws.
 ・Managing the organization's legal matters.
 ・Examining and creating draft agreements, such as employment and vendor agreements.
 ・Maintaining knowledge of organization’s operations and legal documents.
 ・Conducting legal research and reviewing the company's litigation strategy pertaining to legal actions.
 ・Promulgating and creating directives of corporate acts and decisions.
 ・Preserving all corporate records.
 ・Handling statutory filings, such as licensing forms.
 ・Liaising with outside counsel regarding their assignments.
 ・Creating new entities and managing organization's intellectual property.</t>
  </si>
  <si>
    <t>Nadine Yong's Linkedin</t>
  </si>
  <si>
    <t>Haziq Suhaimi</t>
  </si>
  <si>
    <t>Data Analytics &amp; Business Operations</t>
  </si>
  <si>
    <t>・Bachelor law degree from accredited, top-tier law school.
 ・5+ years practice with an established law firm.
 ・Proficient legal experience in fund investments, venture capital financing and M&amp;A.
 ・Experience with corporate governance issues and corporate secretarial duties.</t>
  </si>
  <si>
    <t>linkedin.com/in/haziq-suhaimi</t>
  </si>
  <si>
    <t>Snapask</t>
  </si>
  <si>
    <t>SEA (Singpore)</t>
  </si>
  <si>
    <t>https://snapask.com/</t>
  </si>
  <si>
    <t>Joy Chua, Regional Operations Manager @ Uber</t>
  </si>
  <si>
    <t>Joy Chua, Regional Operations Manager</t>
  </si>
  <si>
    <t>Haziq is my team member that I worked with on a couple of projects. He displayed strong analytical point of view on how to support my project to bring it to success through input and guidance. Definitely recommend him for future opportunities that he is pursuing</t>
  </si>
  <si>
    <t>Pankaj Jain</t>
  </si>
  <si>
    <t>Director - Restructuring &amp; Turnaround</t>
  </si>
  <si>
    <t xml:space="preserve">Duff &amp; Phelps India </t>
  </si>
  <si>
    <t>https:/www.linkedin.com/in/pjain7</t>
  </si>
  <si>
    <t>Sports Industry</t>
  </si>
  <si>
    <t>Nithanth Reddy</t>
  </si>
  <si>
    <t>Sanjay Ray , Managing Director - Duff &amp; Phelps</t>
  </si>
  <si>
    <t>Pankaj is very passionate about his work and has very strong connects within the BFSI industry. Can generate business and create a pipeline in a short time that very few can match.</t>
  </si>
  <si>
    <t>Valid to work in India</t>
  </si>
  <si>
    <t>Derek Ching</t>
  </si>
  <si>
    <t>Growth Success Manager</t>
  </si>
  <si>
    <t>LotusFlare</t>
  </si>
  <si>
    <t>https://www.linkedin.com/in/derekchingmba/</t>
  </si>
  <si>
    <t>Apply Here</t>
  </si>
  <si>
    <t>Currently on an EP in Singapore</t>
  </si>
  <si>
    <t>Kaustuv Das Mohapatra</t>
  </si>
  <si>
    <t>Project Manager - Business Development &amp; Expansion</t>
  </si>
  <si>
    <t xml:space="preserve">Lalamove </t>
  </si>
  <si>
    <t>https://www.linkedin.com/in/kaustuv-mohapatra/</t>
  </si>
  <si>
    <t>FHA</t>
  </si>
  <si>
    <t>Require Employment Pass</t>
  </si>
  <si>
    <t>Darianne Liza</t>
  </si>
  <si>
    <t xml:space="preserve">Market Coordinator </t>
  </si>
  <si>
    <t>https://www.linkedin.com/in/darianne-antoni-liza-68286341/</t>
  </si>
  <si>
    <t>Customer Operations Associate &amp; Customer Operations Manager</t>
  </si>
  <si>
    <t>・Take the initiative on creating an 11-star experience towards Students, Parents and Tutors by working with various key stakeholders
 ・Onboard both Tutors and Students by setting their tutorial and usage behavior
 ・Ensure that customer inquiries and issues are promptly and adequately resolved in the local market
 ・Manage your leading projects and relevant stakeholders to create more values towards Snapask users
 ・Provide constructive suggestions upon day-to-day customer relationship management to perfect user experience
 ・Good analytical skills to monitor database for supply and demand insights
 ・Drive student's and parent's purchasing behaviours by understanding the ideal customer profile and the buyer's journey</t>
  </si>
  <si>
    <t>At least 2 years (Associate) / 4 years (Manager) of experience relevant to sales operations and/or customer service (with start-up would be a plus)</t>
  </si>
  <si>
    <t>SEA (Malaysia, Vietnam)</t>
  </si>
  <si>
    <t>Albright Dy, Senior Product Marketing Manager - Regional @ Traveloka</t>
  </si>
  <si>
    <t>Glaiza Mae Sambat, Cluster Lead @ Traveloka</t>
  </si>
  <si>
    <t>Miguel Capistrano, Country Marketing Manager @ Traveloka</t>
  </si>
  <si>
    <t>John Matthew Flores</t>
  </si>
  <si>
    <t>UI Developer / Frontend Developer</t>
  </si>
  <si>
    <t>https://www.linkedin.com/in/john-matthew-flores-04a239aa/</t>
  </si>
  <si>
    <t>Engineering, Data and analytics, Design</t>
  </si>
  <si>
    <t>Diana Chua - Design Lead @ Traveloka</t>
  </si>
  <si>
    <t>Marnellie F. Nadayao</t>
  </si>
  <si>
    <t>Motion Graphic Designer</t>
  </si>
  <si>
    <t>https://www.linkedin.com/mwlite/in/marnellienadayao</t>
  </si>
  <si>
    <t>Diana Chua</t>
  </si>
  <si>
    <t xml:space="preserve">Design Coordinator: Diana Chua </t>
  </si>
  <si>
    <t>Theresa Teh Eugenee</t>
  </si>
  <si>
    <t>Agency Lead/ Lead Strategist</t>
  </si>
  <si>
    <t>C27</t>
  </si>
  <si>
    <t>https://www.linkedin.com/in/theresa-teh-eugenee-a77a0b96/</t>
  </si>
  <si>
    <t>Joseph Pek, Social Media Lead</t>
  </si>
  <si>
    <t>Ryan Supersticioso</t>
  </si>
  <si>
    <t>Social Media Community Manager</t>
  </si>
  <si>
    <t>https://www.linkedin.com/in/ryansupersticioso</t>
  </si>
  <si>
    <t>Albright Dy</t>
  </si>
  <si>
    <t>・Responsible for digital strategy, planning and execution as well as ROI measurement.
 ・Prepare reports on Acquisition Marketing performance with insightful analysis &amp; KPI.
 ・Develop marketing campaigns with the Marketing team in applying digital marketing techniques.
 ・Devise and oversee digital campaigns, including creative development &amp; media planning, with internal teams and external parties.
 ・To manage marketing budget and maximize cost efficiency.
 ・Liaise with external stakeholder - agencies to oversee and optimise all acquisition projects delivery Implement projects/campaigns accurately, effectively and within budget.
 ・To analyse and formulate measurement reports for tracking and evaluation of effectiveness.</t>
  </si>
  <si>
    <t>At least 3 years relevant working experience in marketing, advertising or equivalent industry; exposure in education industry is a plus.</t>
  </si>
  <si>
    <t>Charisse Trinidad</t>
  </si>
  <si>
    <t>Content Writer and Moderator</t>
  </si>
  <si>
    <t>https://www.linkedin.com/in/charisse-trinidad-cruz-85bb74135/</t>
  </si>
  <si>
    <t>Ryan L Supersticioso / Soc Med Manager @ Traveloka PH</t>
  </si>
  <si>
    <t xml:space="preserve">Jo Pauline Santiago - Content Editor </t>
  </si>
  <si>
    <t>US Citizen/US Passport</t>
  </si>
  <si>
    <t>Edmund Grey</t>
  </si>
  <si>
    <t xml:space="preserve">Talent Acqusition Officer / Lead </t>
  </si>
  <si>
    <t>MicroSourcing</t>
  </si>
  <si>
    <t>https://www.linkedin.com/in/edmund-grey-70b14a39/</t>
  </si>
  <si>
    <t>Aries Sta. Ana</t>
  </si>
  <si>
    <t>Market &amp; Partnership Operations Associate - Experience</t>
  </si>
  <si>
    <t>http://linkedin.com/in/aries-sta-ana-bab961173</t>
  </si>
  <si>
    <t>Silot</t>
  </si>
  <si>
    <t>Teguh Sakti Permadi</t>
  </si>
  <si>
    <t>Lintas Media Danawa</t>
  </si>
  <si>
    <t>https://www.linkedin.com/in/teguhsaktipermadi</t>
  </si>
  <si>
    <t>Engineering, Product, Ops, Data and analytics</t>
  </si>
  <si>
    <t>My friend @ Modana</t>
  </si>
  <si>
    <t>Chandresh Jain</t>
  </si>
  <si>
    <t>Blowfish Digital</t>
  </si>
  <si>
    <t>https://www.linkedin.com/in/thisischandresh/</t>
  </si>
  <si>
    <t>・Work with a team of production crew, editors, copywriters, visual and effect designers to produce and launch academic courses.
 ・Spearhead the course production from ideation, go-to-market planning and execution, and production and post-production workflow coordination with team members.
 ・Plan and execute the go-to-market strategy of courses produced to achieve the assigned targets on sales and profitability.
 ・Manage budget and optimise return on investment for course projects, review and approve production budget, timeline and execution plans submitted by team members.</t>
  </si>
  <si>
    <t>At least 3 years</t>
  </si>
  <si>
    <t>SEA (Malaysia, Vietnam, Indonesia)</t>
  </si>
  <si>
    <t>Harnidh Kaur</t>
  </si>
  <si>
    <t>Tamanna Sharma, Social Media Manager</t>
  </si>
  <si>
    <t>Richard Loat</t>
  </si>
  <si>
    <t>Global Communications Lead</t>
  </si>
  <si>
    <t>Red Bull</t>
  </si>
  <si>
    <t>https://www.linkedin.com/in/richardloat/</t>
  </si>
  <si>
    <t>Bushera Bashir, Director of Partnerships @ Quilt.AI</t>
  </si>
  <si>
    <t>Shamoyita Mukherjee</t>
  </si>
  <si>
    <t>CRM Marketing Manager</t>
  </si>
  <si>
    <t>www.linkedin.com/in/shamoyitamukherjee</t>
  </si>
  <si>
    <t xml:space="preserve"> Money FM 89.3</t>
  </si>
  <si>
    <t>H1B</t>
  </si>
  <si>
    <t>Amitava Mandal</t>
  </si>
  <si>
    <t>Chief Operations Officer</t>
  </si>
  <si>
    <t>You will be primarily responsible for handling the entire operations of our business. Build our supply chain &amp; logistics plans from ground up. Make key decisions regarding Supply Chain Optimization, Planning, Procurement, Contract Manufacturing, Logistics &amp; Warehouse. Drive our procurement &amp; fulfillment cost down considerably. Decide if we should source cross border and go asset light or heavy.</t>
  </si>
  <si>
    <t>We are looking for a highly motivated Co-founder and COO who is execution-focused and inspired by our mission. As a co-founder, your monetary compensation will not be in line with what you would get in the market. Your primary compensation will be in equity. Must be Indonesian with rural go to market experience (Tier 2-3), 5+ years of work experience Background in start-ups, operations, and (ideally) FMCGs, Willingness to get your hands dirty, pilot our business model, and interact with low-income customers, Bachelor's degree or above in Business Management, Computer Science or Supply Chain &amp; Logistics required, or the equivalent combination of education, training and experience that provides the required knowledge, skills, and abilities.</t>
  </si>
  <si>
    <t>Dhwani Rural Information Systems Pvt. Ltd.</t>
  </si>
  <si>
    <t>PT. Soyaka Cerdas Kaya (Shox Indonesia)</t>
  </si>
  <si>
    <t>https://www.linkedin.com/in/amitava-mandal/</t>
  </si>
  <si>
    <t>Social Commerce</t>
  </si>
  <si>
    <t>https://www.techinasia.com/jobs/b6bdfbaf-2d44-4db9-a044-c19c71be81d5</t>
  </si>
  <si>
    <t>Work Permit in Country of Employment except India</t>
  </si>
  <si>
    <t>Almira Agriphina</t>
  </si>
  <si>
    <t>Enterprise Growth Senior Associate</t>
  </si>
  <si>
    <t>https://www.linkedin.com/in/agriphina</t>
  </si>
  <si>
    <t>nashtiti@soyakaai.com, apply via url link</t>
  </si>
  <si>
    <t>Bagas, VP Marketing Indodax</t>
  </si>
  <si>
    <t>Handito Aji, Enterprise Growth Lead</t>
  </si>
  <si>
    <t>Fina is one of the best marketing talents I've ever managed. She is creative, efficient, and smart. She has great and excellent portfolios in a wide range of format. She is young, energetic, and bright marketing talent. She is the game changer</t>
  </si>
  <si>
    <t>Sharechat</t>
  </si>
  <si>
    <t>Atulya Marwah</t>
  </si>
  <si>
    <t>Delivery Head</t>
  </si>
  <si>
    <t>Neuonwoods.com</t>
  </si>
  <si>
    <t>Director of Technology</t>
  </si>
  <si>
    <t>• Devise and establish IT policies and systems to support the implementation of strategies set by the Senior Management
 • Lead the software development of the Group to meet goals established by Senior Management
 • Analyse the business requirements of all departments and schools to determine and meet their technology needs
 • Assess the existing Technological Infrastructure of the Group and propose solutions for improvement and enhancement to the infrastructure 
 • Plan and manage the overall IT Budget to maximise the cost efficiency in technological solutions provided to the Group
 • Provide leadership and support to the team of IT specialist to achieve the goals of the department
 • Keep up to date with current technological research and emerging trends and spearhead developments in areas where change in required. 
 • Organise and maintain the operational readiness of IT, computer systems, security and infrastructure</t>
  </si>
  <si>
    <t>• Bachelor degree in Information Technology / Computer Science or related field
 • Proven experience as IT Director or a similar role
 • More than 10 years of relevant working experience with at least 5 years at a management level
 • Experience in managing Microsoft technologies, Cloud hosting, Helpdesk support and Network infrastructure and operations, applications development and implementation
 • Collaborative, Open-minded and Life-Long Learner
 • Leads by example and inspires team members to achieve excellence in their performance
 • High EQ with the charisma to motivate and collaborate with Principals and the Management Team
 • Excellent interpersonal, communication, negotiation and presentation skills.
 • A self-starter with strong ability to work under pressure whilst maintaining a positive approach to work and relationships with others.</t>
  </si>
  <si>
    <t>EtonHouse</t>
  </si>
  <si>
    <t>Education</t>
  </si>
  <si>
    <t>Singapore/ China</t>
  </si>
  <si>
    <t>https://www.linkedin.com/in/atulyamarwah/</t>
  </si>
  <si>
    <t>https://etonhouse.recruiterpal.com/career/jobs/2vd92</t>
  </si>
  <si>
    <t>Sales, BD and Partnerships, Product, Data and analytics</t>
  </si>
  <si>
    <t>Tejasvie Subrahmanyam</t>
  </si>
  <si>
    <t>Saurabh Mishra, Practice Lead - Quantiphi</t>
  </si>
  <si>
    <t>Atulya is a niche Delivery lead who has successfully put best processes that ensure high end poject delivery and growth of business.</t>
  </si>
  <si>
    <t>Leslie Chua</t>
  </si>
  <si>
    <t>Training and Certification Manager</t>
  </si>
  <si>
    <t>Anyvision</t>
  </si>
  <si>
    <t>https://www.linkedin.com/in/leslie-chua-b9300048/</t>
  </si>
  <si>
    <t>Priscilla Koh, Asst Manager @ SUSS</t>
  </si>
  <si>
    <t>Lynette, MD APAC</t>
  </si>
  <si>
    <t>Leslie is Smart, Sharp and always Smiling !  I have the pleasure to work with Leslie during our tenure in Anyvision. Leslie was a conscientious colleague, he never stop learning and asking. He was very smart to pick up new product knowledge and also understand business practices. Leslie was also very sharp to point out problem and give recommendation.  He was always offering a helping hands to everyone. He was well liked by his colleagues and also our customers.  Leslie is an asset to any organisation and he has my heartfelt recommendation.</t>
  </si>
  <si>
    <t>no requirements</t>
  </si>
  <si>
    <t>Ozair Sarwar</t>
  </si>
  <si>
    <t>Aspire</t>
  </si>
  <si>
    <t>https://www.linkedin.com/in/ozair-sarwar/</t>
  </si>
  <si>
    <t>Marketing, Sales, BD and Partnerships, Ops, Data and analytics</t>
  </si>
  <si>
    <t>Bree Yek</t>
  </si>
  <si>
    <t>Shayantan Debbarman (Technical Principal)</t>
  </si>
  <si>
    <t>Leong Wen Fong (Relationship Manager)</t>
  </si>
  <si>
    <t>Need sponsorship</t>
  </si>
  <si>
    <t>Anisha Saigal</t>
  </si>
  <si>
    <t>Principal</t>
  </si>
  <si>
    <t>Lazy Eight Design</t>
  </si>
  <si>
    <t>https://www.linkedin.com/in/saigalanisha/?originalSubdomain=in</t>
  </si>
  <si>
    <t>• Build the first version of the product ground up and oversee launch as the first product hire
 • Work directly with the project team &amp; key stakeholders in both Singapore and China, and most importantly with end customers to deliver a product which works for end users
 • Continuous engagement with educators, partners &amp; senior stakeholders across functional areas to ideate, capture and refine the digital platform product,
 • Leverage and combine domain expertise including curriculum, pedagogical &amp; training functionalities in a way which delivers a seamless user experience
 • Set up and establish a foundation for the team to ensure the successful delivery of user experience for the China market, and own the future roadmap for growth</t>
  </si>
  <si>
    <t>• 6+ years of experience in a product management
 • Deep design mindset and obsessive about user experience pertaining to China market; tolerance for ambiguity
 • Education industry experience preferred, but not a must
 • Experience of starting things up, establish teams and drive formal and informal leadership across the technology resources
 • A clear thinker with vision, passion, energy, attention to detail, and a drive to learn and improve yourself and others
 • Collaborative and agile, clear in communication and honest, you will be a team player capable of working across a range of business functions
 • Passionate to make things happen and gets excited about identifying and delivering innovative and engaging user experiences.
 • English and Chinese fluency required</t>
  </si>
  <si>
    <t>Saiba Singh, Manager, Digital for APAC-KFC</t>
  </si>
  <si>
    <t>https://etonhouse.recruiterpal.com/career/jobs/kb9vp</t>
  </si>
  <si>
    <t>Will need visa support as I am an Indian resident</t>
  </si>
  <si>
    <t>Gillian Jiang</t>
  </si>
  <si>
    <t>Management Consultant</t>
  </si>
  <si>
    <t>Mars &amp; Co.</t>
  </si>
  <si>
    <t>https://www.linkedin.com/in/gillianjiang/</t>
  </si>
  <si>
    <t>INSEAD</t>
  </si>
  <si>
    <t>Dyota Marsudi, executive director of Vertex Ventures</t>
  </si>
  <si>
    <t>Caroline Rocaline</t>
  </si>
  <si>
    <t>Marketing Planning &amp; Strategy</t>
  </si>
  <si>
    <t>www.linkedin.com/in/rocaline</t>
  </si>
  <si>
    <t>CRM Lifecycle Associate</t>
  </si>
  <si>
    <t>- Build and optimize on onboarding process to facilitate discovery of products and services, leading to the eventual activation of new users
- Establish meaningful touchpoints along the customer journey in order to recommend complementary merchants and drive meaningful follow up actions
- Work closely with business stakeholders in each country to run tactical campaigns that drive key business metrics
- Prepare performance reports and analyses to derive actional insights which help guide iterations of the customer lifecycle campaigns</t>
  </si>
  <si>
    <t>- Minimum of 4 years relevant experience in CRM
- End-to-end understanding of automated lifecycle campaigns (e.g. data infrastructure, targetting logic, campaign creation)
- Experience with CRM platforms (e.g. Oracle Responsys, Salesforce, Adobe)
- Exposure across different APAC markets
- Prior experience with SQL, HTML, CSS, Photoshop and other programming languages is a plus
- A self-starter, independent, motivated and result-oriented team player with a strong performance record
- A fast learner with excellent analytical, conceptual, and problem solving abilities
- Flexibility and ability to adapt to changing and evolving business requirements and objectives</t>
  </si>
  <si>
    <t>friend of mine</t>
  </si>
  <si>
    <t>ShopBack</t>
  </si>
  <si>
    <t>eCommerce</t>
  </si>
  <si>
    <t>Hadi Wenas (CCO at Amartha.com) // Ratih Wulandari (Marketing CRM Specialist at aCommerce) // Randa Purnama Amin (GM of Digital Marketing at Cashbac)</t>
  </si>
  <si>
    <t>"I admire her work ethic and hard work. Feedback from her peers and her direct or indirect reports are super positive. She gives mentorships and coaching to them. As an employee, she's goal-oriented and open to any challenges and suggestions."</t>
  </si>
  <si>
    <t>https://hire.withgoogle.com/public/jobs/shopbackcom/view/P_AAAAAACAAIiFTrRfqweFky</t>
  </si>
  <si>
    <t>Student pass until 22th Sep 2020</t>
  </si>
  <si>
    <t>Tech Recruiter</t>
  </si>
  <si>
    <t>https://www.linkedin.com/in/seanchengyh/</t>
  </si>
  <si>
    <t>Janet Wang</t>
  </si>
  <si>
    <t>18/05/20</t>
  </si>
  <si>
    <t>Aikansh Gupta</t>
  </si>
  <si>
    <t>Ola Cabs</t>
  </si>
  <si>
    <t>https://www.linkedin.com/in/aikanshgupta</t>
  </si>
  <si>
    <t>Copywriters (Part-time, Interns, Freelance)</t>
  </si>
  <si>
    <t xml:space="preserve">We’re recruiting copywriters to synthesize research materials into compelling copy and/or scripts for our versatile and global network of course presenters.
In the process, you can learn all about interesting subjects such as singing, speed reading, facebook marketing and more. You'll also have your copy read by amazing talents, and viewed by thousands via our digital ads.
This writing gig is flexible and allows you to clock in hours at any time, including weekends or after regular office hours. A minimum commitment per week needs to be established in advance.
This position is open to anyone who can write well, regardless of experience. Please send us links to your writing samples. If you don't have any on hand, just write something now and we'll take a look!
</t>
  </si>
  <si>
    <t>This position is basically open to anyone who can write well!</t>
  </si>
  <si>
    <t>Second company IT</t>
  </si>
  <si>
    <t>Marketing, Sales, Product, Ops, Data and analytics</t>
  </si>
  <si>
    <t>Colleague</t>
  </si>
  <si>
    <t>Jaspreet Singh, Manager, Ola</t>
  </si>
  <si>
    <t>Jayaram Puttaramaiah</t>
  </si>
  <si>
    <t>Delivery Manager</t>
  </si>
  <si>
    <t>Infosys Limited</t>
  </si>
  <si>
    <t>http://www.linkedin.com/in/jayaramp</t>
  </si>
  <si>
    <t>Develop a comprehensive and aligned strategic marketing plan to drive awareness, customer acquisition, and retention
Manage and be responsible marketing teams in campaign creation and execution
Collaborate with the online marketing team to optimize channel performance of Facebook Ads, Google Ads, network campaigns and etc
Be accountable for measuring and reporting marketing performance
Derive actionable insights from marketing and product data and take prompt actions in optimization
Growth hacking through constant testing to uncover new marketing opportunities</t>
  </si>
  <si>
    <t>Whatsapp forward.</t>
  </si>
  <si>
    <t>Bhaskar Vajjhala, VP - Wells Fargo.</t>
  </si>
  <si>
    <t>4+ years of working experience and a proven track record of hitting KPIs and driving success in organizations.
Prior experience in a marketing-related role in eCommerce is a plus.
Excellent analytical skills, with the ability to derive actionable insights from research and data.
A natural team player with strong interpersonal skills.
Passionate, hard-working and a self-starter with a sense of urgency.
Ability to project manage and multitask at scale, in a dynamic and detail-oriented environment.
Strong work ethic and performance abilities to thrive in a fast-paced environment.</t>
  </si>
  <si>
    <t>Need to apply for Visa.</t>
  </si>
  <si>
    <t>Eduardo Batista</t>
  </si>
  <si>
    <t>Business Development Analyst</t>
  </si>
  <si>
    <t>Eniac</t>
  </si>
  <si>
    <t>https://www.linkedin.com/in/embatista/</t>
  </si>
  <si>
    <t>https://hire.withgoogle.com/public/jobs/shopbackcom/view/P_AAAAAACAAIiPEVCJUWOh-t</t>
  </si>
  <si>
    <t>Sales, BD and Partnerships, Engineering, Finance, Data and analytics</t>
  </si>
  <si>
    <t>Victor Lim</t>
  </si>
  <si>
    <t>Technical Project Manager</t>
  </si>
  <si>
    <t>iVideoSmart Pte Ltd</t>
  </si>
  <si>
    <t>https://www.linkedin.com/in/victor-lim-b5404446/</t>
  </si>
  <si>
    <t>apply via link or sujetraa@shopback.com</t>
  </si>
  <si>
    <t>Product, Ops, Data and analytics, Design</t>
  </si>
  <si>
    <t>Alexandre Yokoyama</t>
  </si>
  <si>
    <t>19/05/20</t>
  </si>
  <si>
    <t>Firdaus Al-Asedi</t>
  </si>
  <si>
    <t>Lendela Sdn Bhd</t>
  </si>
  <si>
    <t>Senior Merchant Development Manager</t>
  </si>
  <si>
    <t>Growing ShopBack's merchant base by identifying growth sectors, acquiring new merchant partnerships and renewing existing relationships
Conducting market analysis and research for existing and new merchants
Developing ideas for merchant campaigns, managing campaign processes and execution
Attending and mediating meetings and reporting back details of discussions
Preparation of presentations to merchants
Project managing operational tasks related to merchant acquisition and management
End to end responsibility for merchant performance growth with focus on meeting merchants’ and ShopBack’s targets
Working directly with the regional merchants team to actively plan out strategies for business growth and merchant expansion</t>
  </si>
  <si>
    <t xml:space="preserve">At least 5 years of experience in sales and marketing with a proven track record of driving business impact
Having an eCommerce background is an advantage; Account/Client Management experience in the past would also be an advantage
Able to communicate (written and verbal) effectively in English
Strong understanding of the Malaysian eCommerce landscape and consumer trends
Must be comfortable with middle and senior-level negotiations as well as have relationships with the marketing decision makers at eCommerce industries, traditional companies or advertisement agencies
 </t>
  </si>
  <si>
    <t>Marketing, Sales, BD and Partnerships, Product, Ops, Data and analytics</t>
  </si>
  <si>
    <t>Mei Yi, Founder @ WeCanAcademy</t>
  </si>
  <si>
    <t>https://hire.withgoogle.com/public/jobs/shopbackcom/view/P_AAAAAACAAIiMLf7KjyueYz</t>
  </si>
  <si>
    <t>Kahmin Loo</t>
  </si>
  <si>
    <t>Ape Works Pte Ltd</t>
  </si>
  <si>
    <t>www.linkedin.com/in/ kahmin-loo-1027</t>
  </si>
  <si>
    <t>Marketing, Product, Exec team</t>
  </si>
  <si>
    <t>Friend (Din)</t>
  </si>
  <si>
    <t>Fanny Ang, Accounts Director, Ape Works</t>
  </si>
  <si>
    <t>Kahmin's work ethics are commendable. She's a joy to be with and always spreads positive energy in the office. She is always willing to be the one doing all the extra work without complaining.</t>
  </si>
  <si>
    <t>Abi Sa'ad Dimyati</t>
  </si>
  <si>
    <t>Senior ETL &amp; Business Intelligence Consultant</t>
  </si>
  <si>
    <t>Abeam Lightstream Analytics</t>
  </si>
  <si>
    <t>https://www.linkedin.com/in/abi-sa-ad-dimyati-5b749860/</t>
  </si>
  <si>
    <t>Dave, Business Analyst @ Bhinneka.com</t>
  </si>
  <si>
    <t>Abhishek Bachchan</t>
  </si>
  <si>
    <t>Software Developer Intern</t>
  </si>
  <si>
    <t>Samsung</t>
  </si>
  <si>
    <t>www.linkedin.com/in/abhishek-bachchan-708761192</t>
  </si>
  <si>
    <t>Ivy Admin</t>
  </si>
  <si>
    <t>Principal Backend engineer</t>
  </si>
  <si>
    <t>Kai Wolf</t>
  </si>
  <si>
    <t>HeyJobs</t>
  </si>
  <si>
    <t>https://www.linkedin.com/in/kaiwolf</t>
  </si>
  <si>
    <t>Germany</t>
  </si>
  <si>
    <t>Amanda Charlene Chia, Corporate Partnerships Director @ Tigerhall</t>
  </si>
  <si>
    <t>Siddhartha Kumar</t>
  </si>
  <si>
    <t>This role will provide technical leadership in the backend side within Ice House projects. The main role is to build the infrastructure required for optimal ingestion, transformation, and loading of data from a wide variety of data sources using SQL and cloud agnostic technologies.</t>
  </si>
  <si>
    <t>Senior Product Manager 2</t>
  </si>
  <si>
    <t>Agoda</t>
  </si>
  <si>
    <t>https://www.linkedin.com/in/sk2769/</t>
  </si>
  <si>
    <t>Bachelor's degree in Software Engineering, Computer Science, Electrical Engineering or IT preferred with 6 years of relevant Android development experience with 5 full software lifecycles. They are experienced with Golang, Kotlin, and Java.</t>
  </si>
  <si>
    <t>Ice House</t>
  </si>
  <si>
    <t>IT</t>
  </si>
  <si>
    <t>Tim Phang @ Tableau</t>
  </si>
  <si>
    <t>https://apply.workable.com/ice-house-1/j/713CBA9984</t>
  </si>
  <si>
    <t>Indian Passport</t>
  </si>
  <si>
    <t>Ankit Paul</t>
  </si>
  <si>
    <t>Product analyst</t>
  </si>
  <si>
    <t>linkedin.com/in/ankit-paul-01</t>
  </si>
  <si>
    <t>Marketing, Sales, Engineering, Product, Ops, Data and analytics</t>
  </si>
  <si>
    <t>Setal patel ( Sharechat)</t>
  </si>
  <si>
    <t>Savina Tiara Hardiman</t>
  </si>
  <si>
    <t>Senior Event Manager</t>
  </si>
  <si>
    <t>Marketing, Ops, Exec team, Design</t>
  </si>
  <si>
    <t>Chrisanti Indiana, CMO Sociolla</t>
  </si>
  <si>
    <t>Dedi Iskandar, Event Coordinator</t>
  </si>
  <si>
    <t xml:space="preserve">Savina is a great team leader, she is very responsible and always giving her best when it comes to getting the job done. </t>
  </si>
  <si>
    <t>Panicha Noophet</t>
  </si>
  <si>
    <t>Partnership Executive</t>
  </si>
  <si>
    <t>https://www.linkedin.com/in/panicha-noophet-20a99b137/</t>
  </si>
  <si>
    <t>muhammad.inbar@icehousecorp.com</t>
  </si>
  <si>
    <t>Amarit Charoenphan,CCO@Techsauce</t>
  </si>
  <si>
    <t>Palida Kongsilp, International Business Developement</t>
  </si>
  <si>
    <t>Panicha is very organised and attentive to details. She's also passionate in building partnership with her excellent communication skill.</t>
  </si>
  <si>
    <t>Felisha Laras Wihartati</t>
  </si>
  <si>
    <t>Marketing Coordinator</t>
  </si>
  <si>
    <t>PT Mitra Adiperkasa</t>
  </si>
  <si>
    <t>https://www.linkedin.com/in/felisha-wihartati/</t>
  </si>
  <si>
    <t>Erika Dianasari</t>
  </si>
  <si>
    <t>Lily Marpaung - Marketing Manager</t>
  </si>
  <si>
    <t>Pranav Arora</t>
  </si>
  <si>
    <t>Data Scientist/Analyst</t>
  </si>
  <si>
    <t xml:space="preserve">HP </t>
  </si>
  <si>
    <t>https://www.linkedin.com/in/pranavarora63/</t>
  </si>
  <si>
    <t>Lead Android Engineer</t>
  </si>
  <si>
    <t>Design and development of scalable, reliable, and testable Android applications and be a pillar of technological knowledge and lead by example in code, feature development, and documentation</t>
  </si>
  <si>
    <t>Bachelor's degree in Software Engineering, Computer Science, Electrical Engineering or IT preferred with 6 years of relevant Android development experience with 5 full software lifecycles. They are experienced with Kotlin, Java, and Android SDK. Unit testing and instrumented test frameworks are a plus.</t>
  </si>
  <si>
    <t>Ashwin Ravindran , Data science Manager @ HP</t>
  </si>
  <si>
    <t>Nicholas Goh , Data Analyst @ Marina Bay Sands</t>
  </si>
  <si>
    <t>Rajat Kumar, Senior Data Scientist @ HP</t>
  </si>
  <si>
    <t>Need Sponsorship of visa</t>
  </si>
  <si>
    <t>https://apply.workable.com/ice-house-1/j/A09AD9D454/</t>
  </si>
  <si>
    <t>Saandeep Raghunath</t>
  </si>
  <si>
    <t>Sales Lead</t>
  </si>
  <si>
    <t>IVE Group</t>
  </si>
  <si>
    <t>https://www.linkedin.com/in/saandeepr/</t>
  </si>
  <si>
    <t>Mohamad Rezkya Feurstinnov Hairy</t>
  </si>
  <si>
    <t>Tech Lead</t>
  </si>
  <si>
    <t>https://www.linkedin.com/in/rezkyatinnov/</t>
  </si>
  <si>
    <t>Mathews P C</t>
  </si>
  <si>
    <t>HR recruiter</t>
  </si>
  <si>
    <t>Mathews pc</t>
  </si>
  <si>
    <t>Drishia D , Goonj</t>
  </si>
  <si>
    <t>He is very talaneted and awosme to work together.</t>
  </si>
  <si>
    <t>She is very great for the working.</t>
  </si>
  <si>
    <t>Jaspreet Oberoi</t>
  </si>
  <si>
    <t>referhire.com</t>
  </si>
  <si>
    <t>Senior Software Engineer/ Tech Lead/ CTO</t>
  </si>
  <si>
    <t>Write high quality code focusing on readablity and maintainablity
 Maintain existing codebases and perform bug fixes
 Write unit tests and document code to facilitate easier maintainence
 Build and tweak ci/cd pipelines
 Perform code reviews of peers
 Code user interfaces matching design
 Collaborate with product owners to analyze feasiblity of requirements
 Create database schema diagrams and system architecture diagrams for products/features
 Architect systems optimally to balance out infrastructure costs and performance
 Communicate ideas and thoughts effectively with teammates
 Add value to technical discussions and brainstorming sessions
 Learn new languages, tech skill required by the product/feature
 Break down product requirements and user stories into technical specifications
 Database Design, using Entity Relationship (ER) Diagrams
 Design and review APIs, DB, architecture in relation to scope of work
 Run daily standups to remove blockers
 Track project progress ensuring highest quality of work
 Support and monitor developers and QA team
 Do code review (full stack preferred)
 Communicate with various stakeholders (Product, Design, Business)</t>
  </si>
  <si>
    <t>Requirement:
 Able to do things in about one-third the time that most competent people think will be possible
 Minimum 5-10 years of proven experience as a software engineer or tech lead skilled in Python (Flask) and Angular and React is a must
 Knowledge and Experience in DevOps, DB Design, Software Architecture, and AWS 
 Self-organized, able to deliver quality documentation and code reviews for the team, plus ensuring outputs from rest of team
 Prior experience in managing a team of 3-5 engineers is a plus
 Experience with building, maintaining and debugging software in production
 Bonus if you have worked as a softwre engineer in companies relating to Payments, Enterprise Software, or Ecommerce including Shopify, SAP, Myonline Store, Stripe, Paypal, Ayden etc
 Tech Stack:
 - python flask
 - react, angular
 - mysql
 - git
 - circleci, github actions
 - aws: ec2, rds, s3, lambda and more
 Good to have:
 - experience building ecommerce marketplaces
 - experience building payment systems</t>
  </si>
  <si>
    <t>SourceSage</t>
  </si>
  <si>
    <t>Ecommerce Online Store</t>
  </si>
  <si>
    <t>Singapore or Ho Chi Minh or India</t>
  </si>
  <si>
    <t>https://docs.google.com/forms/d/e/1FAIpQLScH4Vul7IJLomAzn995_spWlqtnC6HZ-gy6i-vxPh8bzSNfZw/viewform</t>
  </si>
  <si>
    <t>https://www.linkedin.com/in/jasoberoi/</t>
  </si>
  <si>
    <t>Great team player with strong understanding of business</t>
  </si>
  <si>
    <t>Can work in India</t>
  </si>
  <si>
    <t>hr@sourcesage.co</t>
  </si>
  <si>
    <t>Laksamana Samuel Yamin</t>
  </si>
  <si>
    <t xml:space="preserve">Product  &amp; Test engineer </t>
  </si>
  <si>
    <t>24/5/20</t>
  </si>
  <si>
    <t>https://www.linkedin.com/in/samuel-yamin-09b67489/</t>
  </si>
  <si>
    <t>Senior Product Manager/Director</t>
  </si>
  <si>
    <t>Doing things in about one-third of the time most competent people think it will be possible
 Minimum 5 -10 years proven track record as a Product Manager or Ex Tech Lead/Software Engineer in Ecommerce, Enterprise Software Companies including Shopify, SAP, Myonline store, Salesforce, etc
 Knowledge in Adobe, InvisionApp, Canva and Design skills in creating wireframes and basic design assets for Engineering Team
 Knowledge in using mysql, python, R, JIRA, confluence and analytics/visualization software etc.
 Good presentation, writing and communication in English 
 Organizational skills (able to coordinate among the engineers from different backgrounds and nationalities) 
 Knowledge of sprint, tech support, usage of zendesk system, BCP, DR protocols is a must</t>
  </si>
  <si>
    <t>Prioritize for engineering team, and knowledge in creating knowledge transfer and documentation including DB designs, architecture for each feature 
 Set up process and implement test/ QA process for our applications
 Work with different stakeholders in engineering, business and management to ensure maximum throughput in features and timeliness in meeting deadlines
 Conceptualize, Scope and Breakdown High Level Requirement from Management and Clients into detailed technical tasks for engineering team and product team (for testing)
 Identify timeline needed for each tasks, and ensure engineering team in meeting timelines
 Set up process for collecting customer feedback and improving product timeline
 Set up engineering refatoring periods in conjuction with identification of engineering or product risks
 Work with the operational teams within the company to identify inefficient processes, and ensure that the service level agreement is adhered to, and response times/BCP/DR will be improved.</t>
  </si>
  <si>
    <t xml:space="preserve">Indonesian passport </t>
  </si>
  <si>
    <t>Salsabil Herdiati</t>
  </si>
  <si>
    <t>S.Hum</t>
  </si>
  <si>
    <t>https://www.linkedin.com/in/salsabilherdiati/</t>
  </si>
  <si>
    <t>Robby Caesar Putra, Software Engineer @ TaniHub</t>
  </si>
  <si>
    <t>Ariane Audrey Gonzales</t>
  </si>
  <si>
    <t>Area Manager</t>
  </si>
  <si>
    <t>Alorica Philippines Inc.</t>
  </si>
  <si>
    <t>https://www.linkedin.com/in/ariane-audrey-g-237894191</t>
  </si>
  <si>
    <t>Finance Director/Senior Manager</t>
  </si>
  <si>
    <t>Charles Martin Urmaza</t>
  </si>
  <si>
    <t>Arie is competent and quick a quick learner. She had been chosen to spearhead new AT&amp;T lines of businesses a number of times</t>
  </si>
  <si>
    <t>You will work directly with the CEO and EVP of SourceSage where you have following responsibilities:
 Set Up Monthly, Quarterly, and Annual Accounts, Financial Reports for Board and Processes
 Set Up Risk &amp; Compliance, Internal Audit Records and Processes
 Measuring and Manage Cash Outflows and Inflows, and Payments/Collections
 Negotiate for Payment Terms on Outflows and Inflows
 Preparation of Data Room for Prospective Investors, including Financial Forecasting, Contracts, etc.
 Set Pricing with Management team to optimize gross margins and revenue
 Evalutate and Implement Measures to reduce costs
 Preparation of KPIs for regular reporting to Board and Maangement
 Assist in identifying new investors to secure funding
 Assist in plan and implementation of IPO listing</t>
  </si>
  <si>
    <t>Philippine Passport holder</t>
  </si>
  <si>
    <t>1. At least relevant Bachelors Degree (including accounting, finance or business)
 2. MBA, CFA, CPA is preferred
 3. Minimum 10-15 years proven track record as Chief Accountant, Finance Director, Investment Director, etc in E-commerce, VC or Software Companies
 4. Management of Company Financials with annual turnover from 10 to 100M is preferred
 5. Strong writing skills, presentation and communication in at least English and bonus: Mandarin Chinese
 *Singaporean or Singapore PR</t>
  </si>
  <si>
    <t>Klara Iskra Añonuevo</t>
  </si>
  <si>
    <t>Content Editor</t>
  </si>
  <si>
    <t>https://www.linkedin.com/in/klaraiskra/</t>
  </si>
  <si>
    <t>Diana Chua, Traveloka</t>
  </si>
  <si>
    <t>Katrina Ricarte</t>
  </si>
  <si>
    <t>DIANA CHUA</t>
  </si>
  <si>
    <t>Story Lab Lead/Brand Creative Lead</t>
  </si>
  <si>
    <t>https://www.linkedin.com/in/diana-uy-chua-82935a35/</t>
  </si>
  <si>
    <t>Market Director (Commodities Research)</t>
  </si>
  <si>
    <t>We are looking for someone who is passionate and experienced in building a digital price reporting agency/platform. As part of the work, you will be working closely with the CEO and Chairman of SourceSage, and also advising the Contents Team as follows:
 Forming Price Reporting Structure &amp; Network in the Commodities Market Information Space
 Standardizing and Establishing Price Index and Reporting through tech-enabled features/solutions
 Strengthen our existing Ecosystem &amp; Structure of Market Information Contributors and Price Reporters
 Transforming our platform into a globally recognized and industry approved price reporting platform/agency (PRA)
 License the pricing and technology platform to financial institutions and exchanges</t>
  </si>
  <si>
    <t>10 or more years in Price Reporting Agency is a MUST
 Written and Spoken Ability in both Mandarin Chinese and English
 Having domain market research knowledge in Palm Oil/Petrochemicals/Oleochemicals/Surfactants or related industry
 Having key network/relationship with MNCs in the Palm Oil/Petrochemicals/Oleochemicals/Surfactants or related industry
 Having key network/relationship with government bodies or organizations in standardizing price data and forming price index
 Having key network/relationship with Exchanges, and Companies which distribute price data
 Previous experience in building and managing market research team, and contributors
 Experience in forming price benchmarks and establishing media
 Knowledge and Prior Experience in IOSCO Principles
 Singaporean or Singapore PR</t>
  </si>
  <si>
    <t>Albright Dy, Senior Product Market Manager @ Traveloka</t>
  </si>
  <si>
    <t>Petra Lilja, Head of Brand Creative International @ Traveloka</t>
  </si>
  <si>
    <t>Nabila Putri Safira</t>
  </si>
  <si>
    <t>Fraud</t>
  </si>
  <si>
    <t>https://www.linkedin.com/in/nabilaputrisafira/</t>
  </si>
  <si>
    <t>Red Nose Foundation</t>
  </si>
  <si>
    <t>Ega Almira Shae, Content Strategist @ KoinWorks</t>
  </si>
  <si>
    <t>Market Research</t>
  </si>
  <si>
    <t>Debora Lucyana, Fraud Analyst</t>
  </si>
  <si>
    <t>Danico Sabido</t>
  </si>
  <si>
    <t>Motion Graphics Designer</t>
  </si>
  <si>
    <t>www.linkedin.com/in/dansabido</t>
  </si>
  <si>
    <t>BD Director/Senior Manager (Software Consultant)</t>
  </si>
  <si>
    <t>Identify, Scope and Convert clients who are looking for large enteprise whitelabeled platform
 Manage end to end process (with product help) from conceptualization to implementation including creating demo platform, designs, scope of work, contract signing to delivering the platform
 Work with Product Team to evaluate software success metrics to ensure client retention
 Identify and Implement strategies from pre-sales to post sales to scale sales pipeline and conversion
 Management, Training, and Recruitment of Sales/BD Managers
 Implement, Prepare and Present webinars, company meetings and follow-up on clients
 Manage P&amp;L of the software business unit, and also KPIs of team and ensure meeting of Sales Targets
 Establish partnerships with network owners and key partners who could help scale revenue</t>
  </si>
  <si>
    <t>Diana Uy-Chua</t>
  </si>
  <si>
    <t>Diana Uy-Chua - Design Team Lead</t>
  </si>
  <si>
    <t>Doing things in about one-third the time that most competent people think will be possible
 Minimum 10-15 years of proven track record in Sales, Marketing, Business Development, Software Consultancy in Ecommerce, Enterprise Software Companies such as Magento, System Integrators, SAP, Oracle, Netsuite etc
 Proven track record in achieving and managnig a team that secured enterprise sales of 2-3M annually
 Prior experience in software consultancy, software scoping is a must
 Good presentation, writing, and communication skills (including slides preparation)
 Prior experience in management of a min 3-5 persons sales team
 Fluent and written english and bonus mandarin chinese
 There is commission and bonus</t>
  </si>
  <si>
    <t>Ayunda Rahmani Khoirunnissa</t>
  </si>
  <si>
    <t>HRSS &amp; ER/IR</t>
  </si>
  <si>
    <t>MNC Bank</t>
  </si>
  <si>
    <t>https://www.linkedin.com/in/ayunda-rahmani-khoirunnissa-00291494</t>
  </si>
  <si>
    <t>Dimas Fauzi, postgraduate student at NUS.</t>
  </si>
  <si>
    <t>Laily Fitry, former HR Group Head.</t>
  </si>
  <si>
    <t>She's someone who can be relied with her work ethics &amp; also her drive to complete ant tasks that were assigned to her. She's also a smart lady &amp; an easy-going person. (Kiki Dian Marianna)</t>
  </si>
  <si>
    <t>I am going to need a work visa.</t>
  </si>
  <si>
    <t>Orynbasar Kosbay</t>
  </si>
  <si>
    <t>Fullstack Web Developer (JS)</t>
  </si>
  <si>
    <t>https://www.linkedin.com/in/orynbasar-kosbay-903b5b11a/</t>
  </si>
  <si>
    <t>Kazakhstan</t>
  </si>
  <si>
    <t>Halief Ardiasyah</t>
  </si>
  <si>
    <t>Story Copywriter</t>
  </si>
  <si>
    <t>https://www.linkedin.com/in/halief/</t>
  </si>
  <si>
    <t>Merchant Acquisition Manager/Senior Manager</t>
  </si>
  <si>
    <t>Engage in the end to end process from onboarding users, managing their catalogue in their online store, guide users in terms of usage of solution, manage Q&amp;As, and ensure active usage
 Meet targets in enterprise user acquistion in setting up online stores on SourceSage
 Identify, and engage prospective users to onboard onto SourceSage online ecommerce store
 Identify and Implement strategies in pre-sales and post sales to scale sales pipeline and conversion
 Assist BD Director to increase conversion of free trial users to paid subscribers
 Implement, Prepare and Present webinars, company meetings and follow-up to acquire prospective users</t>
  </si>
  <si>
    <t>Shared on Twitter</t>
  </si>
  <si>
    <t>Doing things in about one-third the time that most competent people think will be possible
 Good Knowledge in Ecommerce Tools &amp; Platforms such as Mailchimp, Shopify, SEO, FB Adverts, etc is a MUST
 Minimum 3-5 years of proven track record in growth, customer success, or customer onboarding related roles in Ecommerce, Enterprise Software Companies such as Shopify, Salesforce, Myonline store, etc.
 Proven track record in achieving enterprise sign-ups and enterprise user acquisition
 Prior experience in software consultancy, software scoping is a bonus
 Good presentation, writing, and communication skills (including slides preparation or fronting webinars)
 Fluent and written english and bonus mandarin chinese</t>
  </si>
  <si>
    <t>Naufal Putra Dea Pramudya</t>
  </si>
  <si>
    <t>Corporate Strategy &amp; Finance Associate-Expansion</t>
  </si>
  <si>
    <t>www.linkedin.com/in/naufalpramudya</t>
  </si>
  <si>
    <t>Product, Finance, Data and analytics, Exec team</t>
  </si>
  <si>
    <t>Find it in Linkedin</t>
  </si>
  <si>
    <t>Dat Han Cheam - Ex CoHive Head of Strategy</t>
  </si>
  <si>
    <t>No, if it is in Indonesia</t>
  </si>
  <si>
    <t>Yichang Li</t>
  </si>
  <si>
    <t>https://www.linkedin.com/in/liyichang/</t>
  </si>
  <si>
    <t>Quilt AI</t>
  </si>
  <si>
    <t>Jamie</t>
  </si>
  <si>
    <t>Harshita Agarwal</t>
  </si>
  <si>
    <t>Marketing Consultant</t>
  </si>
  <si>
    <t>B2G Consulting</t>
  </si>
  <si>
    <t>https://www.linkedin.com/in/harshitaa98/</t>
  </si>
  <si>
    <t>Marketing, Sales, BD and Partnerships, Product, Finance, Ops, HR, People, Talent</t>
  </si>
  <si>
    <t>Talent Tribe website, came across that</t>
  </si>
  <si>
    <t>I am here in Singapore on student pass, allowed to work</t>
  </si>
  <si>
    <t>Astrid Marisha Puteri</t>
  </si>
  <si>
    <t>Brand and Communications specialist</t>
  </si>
  <si>
    <t>PT Smartfren Telecom</t>
  </si>
  <si>
    <t>iOS/Android Mobile Engineer</t>
  </si>
  <si>
    <t>Astridmarishaputeri</t>
  </si>
  <si>
    <t>Things you'll do 💪
o Develop user-centric features in Android/iOS platform
o Build, support and maintain high quality, maintainable mobile applications
o Work closely with product management and experience design team to define and refine feature specifications
o Analyse and improve the efficiency, scalability and stability of our mobile applications
o Push the boundaries, experiment and propose ways to improve team productivity</t>
  </si>
  <si>
    <t>Darmawansyah.Dedy@smartfren.con</t>
  </si>
  <si>
    <t>Skills you'll need 🚀
Technical
o Bachelors Degree (or above) in Computer Science or equivalent
o At least 3 years of experience in Native Android (Kotlin/Java) or iOS (Swift/Objective-C) development
o Strong foundation in computer science with a deep understanding of data structures and algorithms
o Experience in mobile device provisioning, deployment, and account management
o Understanding of application architecture and object-oriented design, specifically in the mobile world
o Mastery in professional software engineering practices for the full software development life cycle, including coding standards, code reviews, source control management, build processes, testing, and operations.
Attitude 🏋🏻‍♂️
o Inquisitive with an analytical mind to understand the various facets of developing a product, from technical requirements to business decisions
o Driven and proactive in exploring creative solutions to solve challenging problems
o Empathetic with our users’ pain points and base your decisions upon solving their problems
o Unafraid to challenge the team if you feel something can be done in a better way
o Communicative, fun and open-minded to work together with
Bonus skills and attributes 🔮
o Practical experience in Scrum and Agile methodologies
o Experience in building automated test cases for mobile application (i.e Unit testing, integration testing, UI testing)
o Have previous experience in startups, especially in the FinTech domain
o Actively contribute back to the community through open source repositories, blogging, public speaking</t>
  </si>
  <si>
    <t>AI Software Develop</t>
  </si>
  <si>
    <t>Febyola Oktavanya</t>
  </si>
  <si>
    <t>Internal &amp; External Corporate Relations (Public Relations Specialist)</t>
  </si>
  <si>
    <t>PT. Mobilkamu Group Indonesia (Mobilkamu.com)</t>
  </si>
  <si>
    <t>https://www.wantedly.com/projects/459144</t>
  </si>
  <si>
    <t>Username : Febyola Oktavanya https://www.linkedin.com/in/febyola-oktavanya-248754156/</t>
  </si>
  <si>
    <t>Marketing, BD and Partnerships, HR, People, Talent, Design</t>
  </si>
  <si>
    <t>Rizka Novia, Corporate Relations Manager @ Mobilkamu.com</t>
  </si>
  <si>
    <t>Rizka Novia, Corporate Relations Manager @Mobilkamu.com</t>
  </si>
  <si>
    <t xml:space="preserve">Satyajit Mahapatra </t>
  </si>
  <si>
    <t xml:space="preserve">Principal HR IT </t>
  </si>
  <si>
    <t xml:space="preserve">BHP BILLITON </t>
  </si>
  <si>
    <t>Ops, Data and analytics, Exec team, HR, People, Talent, Design</t>
  </si>
  <si>
    <t xml:space="preserve">India </t>
  </si>
  <si>
    <t>Swati, Bhp</t>
  </si>
  <si>
    <t>Swati Suryavanshi</t>
  </si>
  <si>
    <t xml:space="preserve">Visa required outside India </t>
  </si>
  <si>
    <t>Shreya Nayar</t>
  </si>
  <si>
    <t>91springboard</t>
  </si>
  <si>
    <t>https://www.linkedin.com/in/shreya-nayar-8100b9147/</t>
  </si>
  <si>
    <t>Product, Ops, HR, People, Talent, Design</t>
  </si>
  <si>
    <t>Andre Satyadharma</t>
  </si>
  <si>
    <t>PT Ezeelink Indonesia</t>
  </si>
  <si>
    <t>https://www.linkedin.com/in/andre-satyadharma-45584b34/</t>
  </si>
  <si>
    <t>Exec team</t>
  </si>
  <si>
    <t>PVH Corp.</t>
  </si>
  <si>
    <t>Sigit Adinugroho</t>
  </si>
  <si>
    <t>Senior Manager, Design</t>
  </si>
  <si>
    <t>https://www.linkedin.com/in/sigitadinugroho/</t>
  </si>
  <si>
    <t>Cloud Engineer</t>
  </si>
  <si>
    <t>Arianti Silvia (Vrbo/Expedia)</t>
  </si>
  <si>
    <t>Brad Zabroski, Sr. Director, Vrbo/Expedia</t>
  </si>
  <si>
    <t>From a coworker at Vrbo: Sigit was a Senior Design Manager in APAC and we worked closely with him and his team on many projects. Despite the 13 hour time difference, Sigit was very connected to the design team in Austin. He was diligent and detail orientated when documenting his process, explorations, and decision making to disseminate to the team. He brought people along and sought out diverse perspectives from around the org (content, product, eng, etc) in order to inform the best solution for the business and user. In my opinion, he's the gold standard on how one should work within in a global design org.</t>
  </si>
  <si>
    <t>• Address customer technical, development, and strategic IT requirements as the main point of contact for Professional Services team
 • Consult with customers to work on problem identification, system architecture definition, hardware and software specification and design, implementation, testing, customer training, and deployment of open source solutions
 • Use industry practices alongside company's policies and procedures to solve diverse problems
 • Analyze data to evaluate key factors in problem-solving
 • Make judgment calls to select methods and techniques for obtaining solutions
 • Routinely assess, design, and implement company's core offerings
 • Serve as a subject matter expert on-site, addressing the technical, developmental, or strategic IT needs
 • Manage problem identification, system architecture definition, software specification and design, testing, and deployment of complex open source solutions
 • Adapt to changing customer requirements
 • Respond to incidents, escalations, and exceptions in a professional manner
 • Deliver quality results both on-site and post-engagement that are on time and within the scope of the assigned project, including project journals, status reports, and other standard documentation</t>
  </si>
  <si>
    <t>Florian Bohnert</t>
  </si>
  <si>
    <t>Chief Marketing Office</t>
  </si>
  <si>
    <t>EMURGO</t>
  </si>
  <si>
    <t>• Experience with Red Hat Enterprise Linux (RHEL) system security, system deployment, and system administration
 • Advanced knowledge of and experience with Linux kernel internals, including performance tuning, troubleshooting, bug fix updates, and core builds
 • Excellent communication and interpersonal skills
 • Demonstrated experience communicating value, progress, and status of key projects to both business-minded and technically savvy audiences
 • Highly motivated and able to learn on your own, as well as quickly pick up new technologies and best practices
 • Ability and desire to learn new technologies on your own and apply new concepts to problems
 • Ability to work as part of a geographically distributed team while demonstrating flexibility and initiative
 • Ability to communicate with in a professional manner, give presentations, and work one-on-one with customers
 • Red Hat Certified Engineer (RHCE), or plans to get certified
 • Some overseas travelling may be required for this position</t>
  </si>
  <si>
    <t>linkedin.com/in/tech4earth</t>
  </si>
  <si>
    <t>iZeno Pte Ltd</t>
  </si>
  <si>
    <t>IT Services</t>
  </si>
  <si>
    <t>www.izeno.com</t>
  </si>
  <si>
    <t>Nicolas Du Cray @ Cathay</t>
  </si>
  <si>
    <t>Manmeet Singh CIO @ EMURGO</t>
  </si>
  <si>
    <t>Florian excels at working with the people around him to set goals, and then craft and execute a strategy to get everyone there. I appreciated his data driven decision making process. Rigor, professionalism and clean reporting are also some of his strong points.</t>
  </si>
  <si>
    <t>Steven</t>
  </si>
  <si>
    <t>https://www.linkedin.com/in/steven-steven-0a8861100/</t>
  </si>
  <si>
    <t>hr@izeno.com</t>
  </si>
  <si>
    <t xml:space="preserve">Ervin Liew </t>
  </si>
  <si>
    <t>Brand Manager</t>
  </si>
  <si>
    <t>Big Bad Wolf Book Sale</t>
  </si>
  <si>
    <t>https://www.linkedin.com/in/ervin-liew-9661a7a6/</t>
  </si>
  <si>
    <t>Senior / Software Engineer</t>
  </si>
  <si>
    <t>• Executing delivery of both client and internal project
 • Follow through the entire Software Development Life Cycle
 • Interpret systems specifications to develop, maintain and support application implementation
 • Provide technical expertise in identifying, evaluating and implementing systems and procedures to meet user requirements
 • Configure system settings and options and execute acceptance testing
 • Analysis, development and implementation using J2EE, Spring, Free Marker Template Language and SQL</t>
  </si>
  <si>
    <t>• Minimum 3 years’ relevant experience
 • Ability to interact and communicate effectively and openly with all levels of management, users and vendors
 • Familiar with J2EE Framework such as spring, servlet, hibernate, etc. 
 • Willing to pick up and learn new software and technologies
 • Strong documentation and solution design skills
 • Analytical with good problem-solving skills
 • Familiarity in the following areas is advantage
 o JBoss or other middleware technologies
 o Enterprise Service Bus or BPMS
 o Single Sign On Technology with standard protocol such as SAML and/or OAuth2
 o Docker or Kubernetes</t>
  </si>
  <si>
    <t>Vinessa Lucia, Designer @ Big Bad Wolf</t>
  </si>
  <si>
    <t>Eligible to work in Malaysia. Will need visa for other countries</t>
  </si>
  <si>
    <t>Gaurav Tandon</t>
  </si>
  <si>
    <t>Associate Digital Media Director</t>
  </si>
  <si>
    <t>Havas Indonesia(advertising Agency)</t>
  </si>
  <si>
    <t>http://linkedin.com/in/gaurav-tandon-2197574a</t>
  </si>
  <si>
    <t>Marketing, BD and Partnerships, Finance, Data and analytics</t>
  </si>
  <si>
    <t>Debojyoti Sanyal marketing Manager@ KFC Indonesia</t>
  </si>
  <si>
    <t>Principal Solutions Architrect</t>
  </si>
  <si>
    <t>Already have Indonesia KITAS(exp Aug 2020)</t>
  </si>
  <si>
    <t>• Assess, understand and analyse client business requirement from technology perspective
 • Design, suggest and align application technology solution based on client requirement
 • Manage solution architecture and design documentation for each project implementation
 • Monitor and adjust solution design when necessary to ensure completeness
 • Discuss frequently both internally and with client to propose the solution during pre-sales and post sales implementation
 • Work closely with Project Manager and client to for project scope and schedule
 • Coordinate tasks with Team Leaders to ensure project plan and delivery can be managed smoothly</t>
  </si>
  <si>
    <t>Kevin Tjuanda</t>
  </si>
  <si>
    <t>Head of Project - Account &amp; Project Management</t>
  </si>
  <si>
    <t>E-Technology Centre</t>
  </si>
  <si>
    <t>• Minimum 8 years’ relevant experience in designing a hybrid solution and delivering complex applications using J2EE, .Net or any other technologies
 • Experienced in MVC design, Data migration, CI/CD Process 
 • Experienced in technology such as Cloud Native Architecture with Microservices, Docker, Kubernetes, Event Driven Architecture, and API Design will be an added advantage
 • Familiar with application servers (E.g. JBoss, WebLogic, and WebSphere) and middleware technologies (Eg. ESB, Queue and/or BPMS)
 • Understanding in one or more of the following database technologies: Oracle, DB2, MSSQL, MySQL, Postgres
 • Knowledge of microservices will be an added advantage
 • Experience in implementation complex project is a must</t>
  </si>
  <si>
    <t>https://www.linkedin.com/in/kevtjua/</t>
  </si>
  <si>
    <t>MOE Tuition Grant, S-Pass or EP.</t>
  </si>
  <si>
    <t>Neha Joshi</t>
  </si>
  <si>
    <t>Senior software engineer</t>
  </si>
  <si>
    <t>Nuance communications</t>
  </si>
  <si>
    <t>https://www.linkedin.com/in/nehajoshi21/</t>
  </si>
  <si>
    <t>Enterprise Account Manager</t>
  </si>
  <si>
    <t>• Define and execute territory/account sales plans in assigned territory to meet and exceed sales goals.
 • Acquire new accounts and identify new opportunities.
 • Develop, manage and report pipeline accurately.
 • Manage and track customer and transactional information in a CRM.
 • Establish and maintain a strong and trusted client relationship.
 • Collaborate cohesively with internal and external stakeholders to ensure customer satisfaction and repeat business.</t>
  </si>
  <si>
    <t>• Minimum 3 years’ experience in Enterprise Software solution sales.
 • Strong presentation and communication skills.
 • Great interpersonal skills, enjoys networking and negotiation.
 • Ability to influence &amp; negotiate with key management stakeholders.
 • Proven track record of managing and winning major opportunities.
 • Experience in managing both transactional and strategic sales.
 • Industry knowledge and experience in the Commercial sector.
 • Self-motivated and does not require micro-management.
 • Knowledge or sales experience in Cloud, Technology and Managed Services.
 • Knowledge or sales experience in CRM, Analytics and Business Intelligence a plus.</t>
  </si>
  <si>
    <t>nyha@jumper.ai (via Dirk)</t>
  </si>
  <si>
    <t>Dependent visa holder</t>
  </si>
  <si>
    <t>Chichi Morales</t>
  </si>
  <si>
    <t>Culture Research Director</t>
  </si>
  <si>
    <t>www.linkedin.com/in/chichi-morales-57445046</t>
  </si>
  <si>
    <t>LKYSPP Alumni Facebook Pagge</t>
  </si>
  <si>
    <t>Audrey Rose Reamon</t>
  </si>
  <si>
    <t>Quality Director</t>
  </si>
  <si>
    <t>iZeno Sdn Bhd</t>
  </si>
  <si>
    <t>LenddoEFL</t>
  </si>
  <si>
    <t>https://www.linkedin.com/in/audreyreamon/</t>
  </si>
  <si>
    <t>Ops, Exec team, HR, People, Talent</t>
  </si>
  <si>
    <t>Richard Eldridge, Former CEO LenddoEFL, Chairman Infinit-O</t>
  </si>
  <si>
    <t>Florentin Lenoir, VP for People Operations - Infinit-O</t>
  </si>
  <si>
    <t>Audrey is reliable and she delivers. She understands people and knows how to find the right balance between caring for the business and caring for its people. She understands when to speak up and doesn't shy away from responsibilities.</t>
  </si>
  <si>
    <t>Andhika Wahyu T'rtyasa</t>
  </si>
  <si>
    <t>Online Sales Senior Manager</t>
  </si>
  <si>
    <t>https://www.linkedin.com/in/andhika-wahyu/</t>
  </si>
  <si>
    <t>Amanda Koenardi @ Shopee</t>
  </si>
  <si>
    <t>Required Visa</t>
  </si>
  <si>
    <t>Raihansyah Dipananda</t>
  </si>
  <si>
    <t>Social Media Officer</t>
  </si>
  <si>
    <t>https://www.linkedin.com/in/raihansyah-dipananda-758292115/</t>
  </si>
  <si>
    <t>PT. Sinergi Informatika Semen Indonesia</t>
  </si>
  <si>
    <t>Dinda Z Wahid</t>
  </si>
  <si>
    <t>Alexander Letedara</t>
  </si>
  <si>
    <t>Marketing Communication Manger</t>
  </si>
  <si>
    <t>PT. Extramarks Indonesia</t>
  </si>
  <si>
    <t>alexander letedara</t>
  </si>
  <si>
    <t>Aldrige Seubelan Digital Manager @smartfeen.com</t>
  </si>
  <si>
    <t>Velayudham Thulasi Vinitha</t>
  </si>
  <si>
    <t xml:space="preserve">Senior Digital Executive </t>
  </si>
  <si>
    <t xml:space="preserve">IPG Mediabrands </t>
  </si>
  <si>
    <t>www.linkedin.com/in/vtvinitha</t>
  </si>
  <si>
    <t>Frida - Outbrain</t>
  </si>
  <si>
    <t xml:space="preserve">Sambashiva - IPG Mediabrands - Associate Director </t>
  </si>
  <si>
    <t>Ltvp</t>
  </si>
  <si>
    <t>Joshita Puri</t>
  </si>
  <si>
    <t>Engagement Manager</t>
  </si>
  <si>
    <t>IVE Singapore Pte Ltd</t>
  </si>
  <si>
    <t>https://www.linkedin.com/in/joshitapuri/</t>
  </si>
  <si>
    <t>Senior Tech Lead Manager</t>
  </si>
  <si>
    <t>Marketing Interactive article</t>
  </si>
  <si>
    <t>Employment Pass (EP)</t>
  </si>
  <si>
    <t>We are looking for experienced full stack developer who can oversee the technology development of our company and also lead, manage and grow the team</t>
  </si>
  <si>
    <t>Nikhil Kejriwal</t>
  </si>
  <si>
    <t>JP Morgan Chase</t>
  </si>
  <si>
    <t>We are looking for someone who has expertise in these following systems: Databases: - Mysql - Percona Xtradb Cluster - MongoDB - Elasticsearch - Redis Frameworks : - Ruby on Rails - ReactJS Server : - GKE - Kubernetes on Google Cloud Platform + system security</t>
  </si>
  <si>
    <t>https://www.linkedin.com/in/nikhilkejriwal/</t>
  </si>
  <si>
    <t>Storial.co</t>
  </si>
  <si>
    <t>YC Startup School</t>
  </si>
  <si>
    <t>"Nikhil is a dependable guy, compassionate and always wiling to lend a hand.</t>
  </si>
  <si>
    <t>Content, Media &amp; Entertainment</t>
  </si>
  <si>
    <t>Have dependent pass, VISA not required</t>
  </si>
  <si>
    <t>Amos Ang</t>
  </si>
  <si>
    <t>Media Activation Executive</t>
  </si>
  <si>
    <t>Essence</t>
  </si>
  <si>
    <t>https://www.linkedin.com/in/amos-ang-sl/</t>
  </si>
  <si>
    <t>Apply via email to steve@storial.co</t>
  </si>
  <si>
    <t>Justina Koh, Senior Activation Executive @ Essence</t>
  </si>
  <si>
    <t>Singaporean. Open to relocating</t>
  </si>
  <si>
    <t>Boni Andika</t>
  </si>
  <si>
    <t>Head of Campaigns</t>
  </si>
  <si>
    <t>Jirnexu (RinggitPlus)</t>
  </si>
  <si>
    <t>https://www.linkedin.com/in/boniandika/</t>
  </si>
  <si>
    <t>UX Designer
 https://careers.zalora.com/jobs/ux-designer/jBsAwpiZqB/</t>
  </si>
  <si>
    <t>ZALORA is looking for a talented, customer-focused UX Designer to join the ZALORA Product Management Team. Your role will be to work closely with Product Managers, UI Designers and Developers to translate business requirements and user needs into delightful digital experiences for new and existing features. You understand and can articulate a human-centered approach to design, and are ready to embrace an iterative design process backed by qualitative and quantitative data.
 Responsibilities:
 - Design user flows, interactions, and wireframes, for various customer-facing and internal products and evaluate their success through usability testing
 - Develop cross-platform designs for both web and app experiences
 - Conduct generative customer research, and usability testing, to gather feedback on the shopping platforms
 - Create customer journey maps by combining user research and quantitative data
 - Work closely with Product Managers, Designers, and Developers
 - Own full-stack design process and create polished UI designs that are clear, clean, consistent and trustworthy, yet modern, delightful, and true to our brand
 - Communicate design ideas and prototypes to developers
 - Stay on top of competitor products and industry trends
 - Be an advocate for user experience within the whole organization by sharing findings and making results visible</t>
  </si>
  <si>
    <t>Preferred Qualifications and Competencies:
 - Bachelor from a top tier university is required
 - At least 3+ years of experience in a UX or Interaction designer role
 - Excellent portfolio with strong demonstration of web and mobile design
 - Proven track record in user research and user testing
 - Proficiency in user research methodologies (Certification with HFI, Norman Nielsen, or studies with HFE are a plus)
 - Past experience in designing consumer-facing applications in multi-lingual or cross-cultural environments considered a plus
 - Expertise in relevant design tools (e.g. Sketch, Figma, Invision, Framer or Axure)
 - High sense of ownership, self-sufficient, hands-on, driven to ensure high quality output
 - Excellent written and verbal communication skills; able to interact professionally with individuals at all levels and with end users
 - Have a good technical background to understand possibilities and constraints, and be able to integrate well with different development teams.
 - True team player who will thrive in an environment working with diverse, multidisciplinary teams (Product, Development, QA).</t>
  </si>
  <si>
    <t>ZALORA</t>
  </si>
  <si>
    <t xml:space="preserve">Fikri Kamarudin, Head of Operations Jirnexu </t>
  </si>
  <si>
    <t>Fashion E-commerce</t>
  </si>
  <si>
    <t xml:space="preserve">Peter Giakoumelos </t>
  </si>
  <si>
    <t>VP, Brand Partnerships &amp; Advertising</t>
  </si>
  <si>
    <t>https://careers.zalora.com/jobs/ux-designer/jBsAwpiZqB/</t>
  </si>
  <si>
    <t>https://www.linkedin.com/in/peter-giakoumelos-71003b4</t>
  </si>
  <si>
    <t>Harsh Sahay</t>
  </si>
  <si>
    <t>Circles Life Asia Pte Ltd</t>
  </si>
  <si>
    <t>https://www.linkedin.com/in/harshsahay/</t>
  </si>
  <si>
    <t>tech-hiring@zalora.com</t>
  </si>
  <si>
    <t>Engineering/ Product Management</t>
  </si>
  <si>
    <t>Tarun, Dompet Kilat</t>
  </si>
  <si>
    <t>Have EP for Singapore, need KITAS for Indonesia</t>
  </si>
  <si>
    <t>Adhitya Tangahu</t>
  </si>
  <si>
    <t>Fullstack Javascript Developer</t>
  </si>
  <si>
    <t>https://www.linkedin.com/in/adhitya-nugraha-b1b60055/</t>
  </si>
  <si>
    <t>Bharath Shankar Ganapathy</t>
  </si>
  <si>
    <t>Technical Program Manager</t>
  </si>
  <si>
    <t>Connected Freight Pte Ltd</t>
  </si>
  <si>
    <t>www.linkedin.com/in/bharathsg202</t>
  </si>
  <si>
    <t>As Senior Product Manager, you will be responsible for plotting the course and future of our product, navigating your team through unchartered territory and unpredictable storms to reach new heights. Your work will constantly set new standards for the age-old industry and help thousands of buyers and renters set up home every year.
 What you'll do:
 * Drive product direction and strategy.
 * Own the product roadmap, objectives and KPIs.
 * Define and execute go-to-market plans /strategies.
 * Conduct A/B tests and lead data analysis.
 * Understand user needs and behaviour.
 * Perform market research and competitive analysis.
 * Oversee product execution from inception to delivery.</t>
  </si>
  <si>
    <t>* Preferably from a computer science or related background
 * Own a track record of building interesting internet and/or mobile products on web and mobile platforms
 * Technical depth that lets you understand and earn the respect of world-class engineers
 * A head for numbers and a strong quantitative background to support data-informed decision making
 * Able to respect and appreciate what good design(s) can do
 * Able to communicate well in all sorts of situations, and know how to give clear and precise briefs
 * Experience leading a team, and know how to effectively implement team goals and deadlines
 * Exemplify what it means to be a team player — for both your team and the company
 * Entrepreneurial spirit and know how your work impacts the business and the industry, and have Your way of conveying this to inspire others
 * Able to read everything and will paste an html peace character somewhere in your application ;)
 * An infectious yearning to learn and be the best at what you do
 * Able to embrace change, and thrive in a fluid, fast-paced start-up environment
 * Able to speak in the vocabulary of GTD, Konmari method, agile, and design sprints</t>
  </si>
  <si>
    <t>99co</t>
  </si>
  <si>
    <t>Sales, Product</t>
  </si>
  <si>
    <t>Adam Kamenitz - Talent Development @ Connected Freight</t>
  </si>
  <si>
    <t>Mrat Yussubaliyev - Strategy &amp; Commercial Manager, Connected Freight</t>
  </si>
  <si>
    <t>Require EP sponsor</t>
  </si>
  <si>
    <t>Maneesh Mishra</t>
  </si>
  <si>
    <t>Data Science Lead</t>
  </si>
  <si>
    <t>https://www.linkedin.com/in/drmaneeshmishra/</t>
  </si>
  <si>
    <t>talent@99.co</t>
  </si>
  <si>
    <t>Product, Data and analytics, Exec team</t>
  </si>
  <si>
    <t>Ajey Group CTO @ Gojek</t>
  </si>
  <si>
    <t xml:space="preserve">Maneesh knows how to leverage data for driving business outcomes and has experience of working with B2C, B2B companies in various verticals - transport, e-commerce, food tech, logistics, etc He is a good team player and is a driven, hands-on data lead. </t>
  </si>
  <si>
    <t>No Visa required</t>
  </si>
  <si>
    <t>Ryan Yudha Satria</t>
  </si>
  <si>
    <t>Hacktiv8 Indonesia</t>
  </si>
  <si>
    <t>https://www.linkedin.com/in/ryanyudhasatria</t>
  </si>
  <si>
    <t>CFO/RFC</t>
  </si>
  <si>
    <t>As a strategic advisor to the CEO, you will provide sound financial counsel in support of business decisions and performance for our operations in Singapore and Indonesia. As a pioneer member of the team, you will be responsible for overseeing the Finance operations and subsequently, spearhead the function. This is a highly visible and critical role where you will be instrumental in charting the future directions and growth of our businesses across Southeast Asia.
 What you'll do:
 * Participate in key decisions pertaining to strategic initiatives, operating model and operational execution.
 * Provide leadership in all aspects of financial operations, payroll, compliance and corporate governance of the company.
 * Work cross-functionally with the Business, Go-to-Market and Product teams to gather and communicate data and insights to identify key value drivers and opportunities for growth.
 * Manage budgeting and forecasting processes and ensure that business analysis and project costing is presented to top management. 
 * Oversee the preparation and communication of monthly and annual financial statements, and ensure timeliness, accuracy, and usefulness of financial and management reporting.
 * Conduct weekly, monthly and quarterly financial assessments and generate reports to be submitted to the senior management team and shareholders.
 Responsible for statutory and tax compliance matters and liaising with external audit and tax consultants, and coordinate audits and proper filing of tax returns and all other related statutory or regulatory requirements.
 Strengthen internal control, conduct an analysis of financial risks and benefits on business initiatives.
 Ensure the relevance of the legal structure in order to increase the company’s leverage and reduce the risks.
 Support fundraising efforts and lead the due diligence planning, preparation and coordination process.</t>
  </si>
  <si>
    <t>* A degree qualified CA/CPA with about 8+ years of post-graduation experience, ideally starting out in a Big 4 firm followed by commercial experience
 * Thrives well in a growing and reactive environment supporting business growth and expansion 
 * An effective communicator with excellent interpersonal skills, you possess the gravitas to influence and work well with all stakeholders
 * Comfortable with ambiguity and understand that not everything is 100% defined all the time. 
 * A true leader naturally has and carries accountability for the actions of you and your team whether you win or lose. The assumption is of course that we win and you need to feel accountable for it.
 * You should be able to look forward and creatively evolve our brand and presence in the market. 
 * Experience in a start-up/ecommerce platform environment is highly preferred 
 * Regional exposure with strong leadership and influencing skills is highly preferred
 * Prior fund-raising, M&amp;A, JV's experience is highly preferred</t>
  </si>
  <si>
    <t>Elfriliani Pancarani, Talent Strategy Lead @ Hacktiv8 Indonesia</t>
  </si>
  <si>
    <t>Arga Wirandika</t>
  </si>
  <si>
    <t>http://www.linkedin.com/in/argawirandika</t>
  </si>
  <si>
    <t>99.co is looking for a Backend Engineer to join our diverse team of people who are
 passionate about taking the real estate industry properly into the age of technology
 through innovation and a desire to solve its multitude of challenges.
 Analytical and results-driven, you will work with team members to troubleshoot and
 improve current back-end applications and processes. The Backend Engineer will
 use his or her understanding of programming languages and tools to analyse current
 codes and industry developments, formulate more efficient processes, solve
 problems, and create a more seamless experience for users.
 What you'll do:
 ● Design and write application APIs for our mobile and web platform
 ● Develop microservices that are consumed by our API backend and other
 microservices
 ● Partner with the wider product team to establish objectives and design
 more functional and cohesive codes to enhance the user experience
 ● Develop ideas for new programs, products, or features by monitoring
 industry developments and trends.
 ● Taking lead on projects, as needed
 ● Participate in continuing education and training to remain current on best
 practices, learn new programming languages, and better assist other team
 members</t>
  </si>
  <si>
    <t>Rachmat Anggara - CMO Qasir.id</t>
  </si>
  <si>
    <t>Pradikta Dwi Anthony</t>
  </si>
  <si>
    <t>What you are/have/will be:
 ● BS or MS in Computer Science or a related technical discipline preferred but not required. Equivalent practical experience is a reasonable substitute
 ● Good understanding of data structures, algorithms and web works
 ● Proficiency in Python is a must, some knowledge of PHP is a plus
 ● You are able to break a system into logical components and build well-abstracted components
 ● You can't stand sloppy APIs, and you know when you should return 401 vs 403 vs 418
 ● You agree that code is for humans to read and only incidentally for computers to execute
 ● Able to conceive, convince, implement and maintain reasonable database schemas for our data
 ● You RTFM and will paste an html peace character somewhere in your application</t>
  </si>
  <si>
    <t>Growth Hacker</t>
  </si>
  <si>
    <t>Mitrais</t>
  </si>
  <si>
    <t>https://www.linkedin.com/in/pdanthony/</t>
  </si>
  <si>
    <t xml:space="preserve">Tony is the epitome of unconventional marketing. A highly creative person who continually challenges traditional methods of execution in the marketing industry. His best trait would be his drive and ability to learn with speed through initial guidance and support before taking over projects independently. Throughout the couple of years in our company, he has honed multiple newly developed skills in broadcast, digital and content marketing, making him an all-rounded marketing individual. He takes in new projects holistically and has a strong sense of opinion or ideal towards what constitutes success for a given target. He was a key figure responsible for our initial years' exponential growth in demand generation. </t>
  </si>
  <si>
    <t>Adrian Lievano</t>
  </si>
  <si>
    <t>Data Scientist III</t>
  </si>
  <si>
    <t>Confluent, Inc.</t>
  </si>
  <si>
    <t>https://www.linkedin.com/in/adrianlievano/</t>
  </si>
  <si>
    <t>Product (UIUX) Designer</t>
  </si>
  <si>
    <t>You are someone passionate about creating user experiences that are highly
 intuitive and motivational. You think about the big picture, the brand, and end-to-
 end user experience. You love working in a team and enjoy collaborating with a
 diverse group of people. You enjoy engaging with other people on your team to
 generate and evaluate ideas, and to produce awe-inspiring work. You have a
 strong understanding that design is about working hand-in-hand with fellow
 collaborators across all phases of development from ideation to completion. 
 What you will do:
 ● Prototype and iterate concepts to learn what our users need
 ● Conduct user testing, research, and market analysis to create truly user-
 centric designs
 ● Create low and high fidelity user interfaces and experiences
 ● Design user interfaces across our various iOS, Android and Web
 apps/platforms
 ● Partner with product managers and software engineers to define and
 deliver new features on the digital platform
 ● Take ownership of the design library and assets on SketchApp
 ● Keep yourself updated on the latest design patterns</t>
  </si>
  <si>
    <t>What you have/are/will be:
 ● 3-5 years of experience in a digital agency, startup or similar environment
 with a portfolio of previous work to discuss
 ● Experience with visual design, principles of UI design, layouts, graphics
 development, typography, colour design theory
 ● Collaborative mindset and interest in working with a diverse group of
 passionate, curious people - which includes UI/UX designers, product
 managers, engineers and marketers
 ● Value bold ideas and pay a great deal of attention to detail. You would
 never want to present something with errors or that doesn&amp;#39;t answer the
 brief
 ● Able to work on multiple projects at one time and manage your own
 deadlines
 ● Refined aesthetic sense and believe in your designs because you have
 thought them through and communicate your ideas easily, passionately
 and with confidence, but importantly, you listen intently to feedback and
 maintain flexibility
 ● Understand the technical limitations and liberties behind your decisions,
 and have enough chops to communicate your ideas to engineers
 ● Thrive in a startup environment
 ● Read everything and will paste an html peace character somewhere in
 your application
 It will be a BONUS if you have/are/be:
 ● Understanding of what makes an experience – you can think through
 various scenarios, find reasonable solutions, mock them up in detail and
 work with engineers build them
 ● Able to work on the hard problems and to set a new standard for the
 web/mobile experience
 ● Able to turn scrappy ideas and briefs into usable interactions, prototype
 and iterate on them with users and engineers until they are launched,
 understanding the priorities and concerns of the person briefing you
 ● Real interest in, and understanding of, the power of design to influence
 behaviour. You don&amp;#39;t just come up with pretty designs but think carefully
 about the objective and desired behaviour as a result of the design 
 ● Distill complicated problems into simple and elegant solutions and have a
 strong understanding of composition, balance, symmetry, and white-space
 ● Photography, videography and video editing skills
 ● Excellent CSS and HTML skills
 ● Become a brand guardian by reviewing brand guidelines and ensuring all
 product design is on brand</t>
  </si>
  <si>
    <t>Post on LinkedIn</t>
  </si>
  <si>
    <t>USA Citizen</t>
  </si>
  <si>
    <t>Raewyn Koh</t>
  </si>
  <si>
    <t>Deputy Editor</t>
  </si>
  <si>
    <t>linkedin.com/raewynkoh</t>
  </si>
  <si>
    <t>Senior Manager, Group Financial Controller</t>
  </si>
  <si>
    <t>Helicap is looking for a Group Financial and Operations Controller that will be a key member of the finance and
operations team which will support finance and data management. You will be required to oversee finance,
operations and compliance functions including AML/KYC due diligence, as well as assist in client and regulatory
reporting.
The successful candidate will report directly to the CFO and COO of Helicap. The candidate will be groomed to
be Deputy-CFO.
Key Responsibilities:
• Responsible for group companies’ annual external and internal audit
• Maintain portfolio accounting and monthly NAVs
• Ensure all fund accounting is performed in accordance with policies &amp; procedures
• Manage the monthly closure of management accounts and review accounting management reports
and statutory reports
• Responsible for the financials and performance numbers for the monthly and quarterly reports to
investors
• Oversee day-to-day operations
• Ensure compliance with relevant Regulations, Accounting Standards and Tax rules.
• Provide analysis, review budgets and forecasts
• Support equity fund raising, deal acquisition and divestment, capital calls and distributions
• Liaise with bankers, auditors, tax agents, regulators, and corporate secretarial firms
• Review new client profiles prior to account opening and ensure compliance with MAS regulations
• Ensure validity and accuracy of client information and client documentation
• Responsible for timely completion and submission of quarterly, annual and ad-hoc filing of surveys,
reports and submissions to MAS for the group’s regulated companies
• Review and ensure that regulatory reporting requirements are in compliance with MAS’ Regulation and
requirements</t>
  </si>
  <si>
    <t>Degree holder, with a major in accounting or finance, preferably with an audit background
• Min 5 years of experience in finance / operations, preferably in a bank or financial institution
• Highly organized with attention to detail
• Positive professional attitude
• Ability to work effectively in a team environment to lead and manage a team
• Experience working in a compliance role or credit fund is a bonus
• Singapore citizen or PR preferred</t>
  </si>
  <si>
    <t>Helicap Pte. Ltd</t>
  </si>
  <si>
    <t>Instagram contact: @r.dfo</t>
  </si>
  <si>
    <t xml:space="preserve"> info@heli-cap.com </t>
  </si>
  <si>
    <t>Ara Luna-Reston, Associate Editor (ara@media-group.com.sg)</t>
  </si>
  <si>
    <t>Adam Graphiandana</t>
  </si>
  <si>
    <t>https://www.linkedin.com/in/adam-graphiandana-37413453/</t>
  </si>
  <si>
    <t>Accounts and Administration Executive</t>
  </si>
  <si>
    <t xml:space="preserve">Role Purpose: ​To support the company founders and directors in this exciting high-growth realestate start-up
Goals/Deliverables:➢
Increase team productivity by handling administrative tasks across sales, marketing and finance
➢Deliver great customer satisfaction through timely management of requests
➢Enable superior ways of working by organising process and ways of working
Core Responsibilities:
●Issuing customer and property contracts and agreements
●Invoicing of tenants and customers
●Bookkeeping
●Expenses management
●Updating customer database
●Scanning and filing
●Diary management
●Payment of supplier
●Submitting supplier orders
●Office management responsibility
●Payroll
●Accounting adjustments and financial reporting
</t>
  </si>
  <si>
    <t>Experience and Qualifications Required:
Essential
-Experience in an administrative role (minimum 3 years)
-Accounting experience (minimum 2 years)  Preferred
-Experience working in a start-up
Core Skills/Competencies:
★Strong attention to detail
★Fast to learn
★Time management
★Organisation and planning
★Ability to be flexible</t>
  </si>
  <si>
    <t>Richard Dharmadi Product Lead at Nodeflux</t>
  </si>
  <si>
    <t>Richard Dharmadi-Product Lead</t>
  </si>
  <si>
    <t>I’ve worked alongside Adam for a year now. This entire year, I have seen his mastery for both his core role -- product management, and the projects that extend beyond it. His taking on internal company communication and liaison on both engineering &amp; commercial sides have been critical to the company’s alignment. He has a caring &amp; positive attitude, and a desire to produce quality solutions</t>
  </si>
  <si>
    <t>Reynaldi Elkharismawan</t>
  </si>
  <si>
    <t>https://www.linkedin.com/in/reynaldi-elkharismawan/</t>
  </si>
  <si>
    <t>Finance Accounts Admin</t>
  </si>
  <si>
    <t>Sukmawati, ex HRBP from OYO Indonesia</t>
  </si>
  <si>
    <t>Jekson Tua</t>
  </si>
  <si>
    <t>Head of Customer Success</t>
  </si>
  <si>
    <t>GM Partnerships</t>
  </si>
  <si>
    <t xml:space="preserve">Responsibilities: 
Work with senior management to ensure the long term strategic goals of the company are met
Build and leverage relationships with ecosystem stakeholders including banks, companies, government and non government institutions
Lead strategic initiatives with Jaringan IDN partners
</t>
  </si>
  <si>
    <t>https://www.linkedin.com/in/jeksontua/</t>
  </si>
  <si>
    <t xml:space="preserve">Requirements:
At least 3 years experience in business development at senior management level
Proven ability building and managing strategic partnerships
Experience leading multidisciplinary teams
Experience within the financial industry is a plus 
Experience working with the government is a plus
</t>
  </si>
  <si>
    <t>InfraDigital</t>
  </si>
  <si>
    <t>Fintech / Edtech</t>
  </si>
  <si>
    <t>CTO Asumsi.co// Content Head Useget.com</t>
  </si>
  <si>
    <t>https://infradigital.io/career</t>
  </si>
  <si>
    <t>Devi Shara - Customer Support Supervisor Moka Pos</t>
  </si>
  <si>
    <t>Inspiring leader is the phrase that comes to mind when I think about Jekson. I’ve had the pleasure of knowing him for a year, collaborating on several project to make Support team even better. Above all, I was impressed with Jekson's ability to manage a large team and develop each of his team member. And, of course, his calmness to handle all complaints (even drama). Jekson would be a true asset for any positions requiring leadership and Operations knowledge, and comes with my heartfelt recommendation.</t>
  </si>
  <si>
    <t>Handito Aji Saroso</t>
  </si>
  <si>
    <t>Growth Lead</t>
  </si>
  <si>
    <t>https://www.linkedin.com/in/handitoaji/</t>
  </si>
  <si>
    <t>COO Kalibrr</t>
  </si>
  <si>
    <t>ian@infradigital.io</t>
  </si>
  <si>
    <t>Sanuk Tandon</t>
  </si>
  <si>
    <t>I have to wait 8 month to get people like him. Very painful to lost him in this unpredictable situation</t>
  </si>
  <si>
    <t>Duky Firmansyah</t>
  </si>
  <si>
    <t>Sr Internal Audit Analyst</t>
  </si>
  <si>
    <t>Amartha Mikro Fintek</t>
  </si>
  <si>
    <t>handito</t>
  </si>
  <si>
    <t>Nofisyah putra (Legal and compliance manager)</t>
  </si>
  <si>
    <t>Always learning and never give up</t>
  </si>
  <si>
    <t>Noted</t>
  </si>
  <si>
    <t>Mursid broto asmoro</t>
  </si>
  <si>
    <t>bachelor's degree</t>
  </si>
  <si>
    <t>PT. Asus Technology Indonesia Batam</t>
  </si>
  <si>
    <t>https://www.linkedin.com/in/mursid-broto-asmoro-21775190</t>
  </si>
  <si>
    <t>Responsibilities: 
Increase awareness of IDN &amp; its mission through various online and offline channels, working closely with sales, partnerships and other teams 
Leverage relationships with ecosystem stakeholders including banks, companies, government and non government institutions to further marketing initiatives
Execute marketing initiatives with Jaringan IDN partners, including product &amp; partnership launches, in collaboration with multiple teams.</t>
  </si>
  <si>
    <t>Requirements: 
At least 3 years of experience in a senior marketing role
Prior experience leading strategic marketing initiatives end-end
Ability to properly structure and analyse marketing campaigns
Skilled at crafting and executing both digital and non-digital campaigns
Management Experience is a plus
Data Analytics Experience is a plus</t>
  </si>
  <si>
    <t>Not yet</t>
  </si>
  <si>
    <t xml:space="preserve">Visa for all my family members </t>
  </si>
  <si>
    <t>Aldy Yoga Alfianta</t>
  </si>
  <si>
    <t>Larisin</t>
  </si>
  <si>
    <t>https://www.linkedin.com/in/aldy-yoga-alfianta-b26214115/</t>
  </si>
  <si>
    <t>PT. Agate International</t>
  </si>
  <si>
    <t>Cahyo, CTO @Larisin</t>
  </si>
  <si>
    <t>karir@infradigital.io</t>
  </si>
  <si>
    <t>Elissa Vananda</t>
  </si>
  <si>
    <t>Strategic Account Manager (Cloud Marketing Automation)</t>
  </si>
  <si>
    <t>Insider</t>
  </si>
  <si>
    <t>https://www.linkedin.com/in/elissa-vananda-37a78b110/</t>
  </si>
  <si>
    <t>Product Manager Lead</t>
  </si>
  <si>
    <t xml:space="preserve">Responsibilities: 
Full management of multiple ongoing products
Mentorship of non product staff in product design
Ensure best practice product design principles are in place
Manage external ecosystem stakeholders where necessary
</t>
  </si>
  <si>
    <t>Veri Ferdiansyah - CTO Asumsi</t>
  </si>
  <si>
    <t xml:space="preserve">(Name Disclosed) - Colleagues at Insider. Details will be provided to the relevant recruiter. </t>
  </si>
  <si>
    <t xml:space="preserve">Requirements: 
Min 3 years experience in product management
Has led the end-end process of building, launching and iterating of multiple products, with B2B experience and financial services experience a plus 
Analytical Skills, communication skills
Knowledge of product design best practices
Technical background such as engineering or design are a plus </t>
  </si>
  <si>
    <t>No Visa Required for Indonesian Opportunities</t>
  </si>
  <si>
    <t>Muhammad Megasuryo Firdaus</t>
  </si>
  <si>
    <t>Digital Marketing Operations Executive</t>
  </si>
  <si>
    <t>BookingLokal</t>
  </si>
  <si>
    <t>http://linkedin.com/in/megasuryofirdaus</t>
  </si>
  <si>
    <t>Elissa Vananda, Former Strategic Account Manager @ Insider Indonesia</t>
  </si>
  <si>
    <t>Ludwina Pravitasari, Junior Team Lead Market Operations @ Booking.com Indonesia</t>
  </si>
  <si>
    <t>Whitney Morgan</t>
  </si>
  <si>
    <t>Head of Global Partnerships</t>
  </si>
  <si>
    <t>Prodigy Finance</t>
  </si>
  <si>
    <t>https://www.linkedin.com/in/whitneymorgan/</t>
  </si>
  <si>
    <t>Europe, WorkEx Asia/LatAm</t>
  </si>
  <si>
    <t>Rachael de Foe</t>
  </si>
  <si>
    <t>Ananya Deshpande</t>
  </si>
  <si>
    <t>Money20/20</t>
  </si>
  <si>
    <t>https://www.linkedin.com/in/ananyapd/</t>
  </si>
  <si>
    <t xml:space="preserve">Responsibilities: 
Use a variety of programming languages in order to create user-friendly web pages.
Maintain and improve company website and products.
Optimize our web applications and company for maximum speed.
Make suggestions for better solutions to problems.
Build high-quality web pages based on design.
</t>
  </si>
  <si>
    <t>Requirements: 
2 years of experience as a Front-end Developer.
Excellent knowledge of browser troubleshooting and debugging practices and techniques
Experience with markup languages, Javascript, JQuery, SASS.
Familiar with Go Lang &amp; Node JS is a plus.
Familiar with UIKit framework.
Critical thinker and problem-solving skills.
Team Player.
Great interpersonal and communication skills.</t>
  </si>
  <si>
    <t>Hazel Savage, Co-Founder Musiio</t>
  </si>
  <si>
    <t>I hired Ananya to work under me on the Marketing Team at BandLab and out of the 400+ CVs I read to hire this role and the dozens of people I met, Anaya stood out head and shoulders above the rest. She is smart, switched on, committed and proactive. I have no doubt Ananya will go on to huge success and I would hire her again in a heartbeat</t>
  </si>
  <si>
    <t>Permanent Resident</t>
  </si>
  <si>
    <t>Jonathan Ong</t>
  </si>
  <si>
    <t>Business Development Consultant</t>
  </si>
  <si>
    <t>Circus Social</t>
  </si>
  <si>
    <t>https://www.linkedin.com/in/jonathanongch/</t>
  </si>
  <si>
    <t>Chia Jeng Yang, Principal @ Saison Capital (through Linkedin)</t>
  </si>
  <si>
    <t>Yunardo Patra Wiliardi</t>
  </si>
  <si>
    <t>Senior Fullstack developer</t>
  </si>
  <si>
    <t>GetCluey pt LTD</t>
  </si>
  <si>
    <t>https://www.linkedin.com/in/yunardopatra/</t>
  </si>
  <si>
    <t>GM Sales Strategy / Commercial</t>
  </si>
  <si>
    <t>Initiate strategic initiatives to drive the growth of acquisition and online payment
Support to achieve the number of sales target at large scale
Develop sales cycle for each product
Develop go to market strategy of new product to reach target number of product penetration
Work closely with marketing team / support and engineering team
Liaise with customers / merchants / clients / government agencies</t>
  </si>
  <si>
    <t>Mujtahid developer @Dflow</t>
  </si>
  <si>
    <t>Haichen Founder @ GetCluey</t>
  </si>
  <si>
    <t>He's good leader and great technical skill</t>
  </si>
  <si>
    <t>Raditia Marendra</t>
  </si>
  <si>
    <t>HTC Global services</t>
  </si>
  <si>
    <t>raditiamarendra</t>
  </si>
  <si>
    <t>@handito saroso</t>
  </si>
  <si>
    <t>Liza Syafrina</t>
  </si>
  <si>
    <t>Recruitment Officer</t>
  </si>
  <si>
    <t>Coca Cola Amatil Indonesia</t>
  </si>
  <si>
    <t>linkedin.com/in/lizasyafrina</t>
  </si>
  <si>
    <t>Annisa Utami - OD Manager Coca Cola Amatil Indonesia</t>
  </si>
  <si>
    <t>Liza is one of my direct team who really able to stretch herself and do extramiles to achieve the target. Her passion in HR esp recruitment activities, great personalities and positive energy really helps her to get things done despite of the challenges faced. Thank you Liza for your high contribution to our team. Always be Happy and remain Positive</t>
  </si>
  <si>
    <t>Software Engineer Lead</t>
  </si>
  <si>
    <t>➢ Build highly-talented engineers team to design, develop and maintain enterprise-level software solutions; 
 ➢ Cooperate with product managers, build developer community from scratch, and be able to establish good relations with developers; 
 ➢ Contribute to the success of a rapidly growing and evolving organization and guarantee quality output at the same time; 
 ➢ Lead code/design reviews to ensure smooth daily operations and accurate planning at a team level; 
 ➢ Propose and implement developing tools to improve team efficiency.</t>
  </si>
  <si>
    <t>Aries Sulaksono</t>
  </si>
  <si>
    <t>➢ Bachelor of Science or higher degree in Computer Science or relevant fields； 
 ➢ 5+ years of software design and development experience, ideally in an engineering management or technical leadership role; 
 ➢ Solid technical skills in building architecture and improving performance for enterprise-level software solutions and secure API design; 
 ➢ Passionate about exploring technical issues and put forward creative/innovative solutions; 
 ➢ Experience in cloud-based IaaS/SaaS/PaaS or enterprise-level software company is a plus</t>
  </si>
  <si>
    <t>Indosat Ooredoo</t>
  </si>
  <si>
    <t>https://www.linkedin.com/in/aries-sulaksono</t>
  </si>
  <si>
    <t>RAS RECRUITMENT</t>
  </si>
  <si>
    <t>E-COMMERCE</t>
  </si>
  <si>
    <t>SINGAPORE</t>
  </si>
  <si>
    <t>Veri Ferdiansyah, CTO @ Asumsi</t>
  </si>
  <si>
    <t>Need sponsorship for work permit</t>
  </si>
  <si>
    <t>aldrin.c@rasrecruitment.com / Whatsapp +639272820442</t>
  </si>
  <si>
    <t>Soham Garud</t>
  </si>
  <si>
    <t xml:space="preserve">Co-founder </t>
  </si>
  <si>
    <t>Hussell</t>
  </si>
  <si>
    <t>https://www.linkedin.com/in/sohamgarud</t>
  </si>
  <si>
    <t>BD and Partnerships, Engineering, Product, Exec team</t>
  </si>
  <si>
    <t>Devayani Latey, Co-founder @ Hussell</t>
  </si>
  <si>
    <t>EntrePass</t>
  </si>
  <si>
    <t>Yale Wong</t>
  </si>
  <si>
    <t>Research Associate</t>
  </si>
  <si>
    <t>Institute of Transport and Logistics Studies</t>
  </si>
  <si>
    <t>https://www.linkedin.com/in/yalezwong</t>
  </si>
  <si>
    <t>Australia/Hong Kong</t>
  </si>
  <si>
    <t>Rachael De Foe</t>
  </si>
  <si>
    <t>Zakiyah Az Zahra</t>
  </si>
  <si>
    <t>Channel Partner</t>
  </si>
  <si>
    <t>https://id.linkedin.com/in/zakiyah-az-zahra</t>
  </si>
  <si>
    <t>➢ Design and implement scalable, distributed, high-volume enterprise-level software solutions; 
 ➢ Contribute to the success of a rapidly growing and evolving organization and guarantee quality output at the same time.</t>
  </si>
  <si>
    <t>➢ Bachelor of Science or higher degree in Computer Science, or other relevant fields with 2+ years of work experience; 
 ➢ Excellent programming, debugging, and optimization skills in general-purpose programming languages, ideally Golang; 
 ➢ Creative mindset for problem-solving, excellent troubleshooting and debugging skills; 
 ➢ Experience in cloud-based IaaS/SaaS/PaaS or enterprise-level software company is a plus.</t>
  </si>
  <si>
    <t>aldrin.c@rasrecruitment.com  / Whatsapp +639272820442</t>
  </si>
  <si>
    <t>I saw this on Linkedin post</t>
  </si>
  <si>
    <t>punit pratap singh</t>
  </si>
  <si>
    <t>Full stack javascript developer</t>
  </si>
  <si>
    <t>➢ Define product vision, drive product roadmap across cross-functional teams; 
 ➢ Lead a team of product managers to drive the planning, technical development, testing and launch of SaaS products; 
 ➢ Identify key factors that have the greatest influence on business processes; 
 ➢ Define and analyze metrics that can facilitate success of products; 
 ➢ Integrate usability testing, research and market analysis into product requirement management to enhance user satisfaction.</t>
  </si>
  <si>
    <t>➢ Bachelor's degree or above; 
 ➢ 5+ years of experience in building software products as product owner; 
 ➢ Experience in business process modeling and improvement, or delivering enterprise-level products is a plus; 
 ➢ Experience in roadmap prioritization in an Agile environment (scrum, sprints); 
 ➢ Problem solving and analytical skills; 
 ➢ Ability to speak and write in English and Mandarin and work in a multicultural environment.</t>
  </si>
  <si>
    <t>Linkdin</t>
  </si>
  <si>
    <t>Utkarsh, Utkarsh amazing coding geek in my friendship</t>
  </si>
  <si>
    <t>yes, I required visa</t>
  </si>
  <si>
    <t>Rachel Leong</t>
  </si>
  <si>
    <t>➢ Lead the planning, technical development, testing and launch of SaaS products with a team of engineers and designers; 
 ➢ Identify key factors that have the greatest influence on business processes; 
 ➢ Define and analyze metrics that can facilitate success of products; 
 ➢ Integrate usability testing, research and market analysis into product requirement management to enhance user satisfaction.</t>
  </si>
  <si>
    <t>E-Commerce Fashion Buyer</t>
  </si>
  <si>
    <t>➢ Bachelor's degree or above; ➢ 3+ years of experience in building software products as product manager or product owner; ➢ Experience in business process modeling and improvement, or delivering enterprise-level products is a plus; ➢ Experience in roadmap prioritization in an Agile environment (scrum, sprints); ➢ Problem solving and analytical skills; ➢ Ability to speak and write in English and Mandarin fluently and work in a multicultural environment</t>
  </si>
  <si>
    <t>https://www.linkedin.com/in/racheleongmacy</t>
  </si>
  <si>
    <r>
      <rPr>
        <u/>
        <sz val="10"/>
        <color rgb="FF1155CC"/>
        <rFont val="Arial"/>
      </rPr>
      <t>Approvd.ai</t>
    </r>
    <r>
      <rPr>
        <sz val="10"/>
        <color rgb="FF000000"/>
        <rFont val="Arial"/>
      </rPr>
      <t xml:space="preserve"> is a young startup focused on building B2B solutions for faster, more efficient and secure way to manage compliance approval processes for businesses and vendors. We are looking for key technical roles to help us achieve our vision and deliver a product that scales quickly and efficiently. Join us to work on innovative solutions that addresses problems faced by businesses small and large especially in the changing global marketplace landscape.
 Job Description
 You will work to design, build, and support core systems powering </t>
    </r>
    <r>
      <rPr>
        <u/>
        <sz val="10"/>
        <color rgb="FF1155CC"/>
        <rFont val="Arial"/>
      </rPr>
      <t>Approvd.ai</t>
    </r>
    <r>
      <rPr>
        <sz val="10"/>
        <color rgb="FF000000"/>
        <rFont val="Arial"/>
      </rPr>
      <t xml:space="preserve"> 's user experience for our B2B compliance workflow product MVP and beyond.
 You will build efficient, scalable, and robust product features powering a secure, simple-to-use and fast user experience.
 You will design and implement solutions to handle high levels of traffic, in a rapidly scaling environment.
 You will lead a team to build the product solution to be scalable and expandable to other markets
 You will write well-tested, clean code and review other team members’ contributions.
 You will have a direct impact on architecting the product for growth and internationalisation, and have a product mindset on driving continuous development and integration of new product features.
 You will work closely with Product and business teams to identify product solutions aligned with business objectives</t>
    </r>
  </si>
  <si>
    <t>Ramond Chan, Account Manager</t>
  </si>
  <si>
    <t>Ong Ci Xian, Buyer</t>
  </si>
  <si>
    <t xml:space="preserve">Rachel is a team player, patient and is always willing to teach. She has a strong understanding of the brand and customer base she's handling.  She is always entertaining the office with her spontaneous quirks, a joy to have in the team. </t>
  </si>
  <si>
    <t>Sumit Anand</t>
  </si>
  <si>
    <t>Cermati</t>
  </si>
  <si>
    <t>https://www.linkedin.com/in/sumeetaanand/</t>
  </si>
  <si>
    <t>Fung, CPO @ cermati</t>
  </si>
  <si>
    <t>Minimum 6-8 or more years of experience in building applications, preferably with a modern technology stack and &gt;3 years in a lead role
 Deep experience with JavaScript, HTML/CSS, Python, Go language and frameworks, and frontend technologies such as Node.js, React,
 Familiarity with databases (e.g. MySQL, MongoDB), web servers (e.g. Apache) and UI/UX design
 Experience working with Agile, Lean and Continuous Delivery approaches
 Knowledge in managing code deployment processes with a CI/CD pipeline
 Experience building cloud native scalable software architectures
 Building software in a security-conscious way, especially keeping in mind things like the OWASP top 10 vulnerabilities 
 Strong people skills that contribute to an open and collaborative environment
 Demonstrated the ability to mentor and lead teams keeping an objective view on managing timelines</t>
  </si>
  <si>
    <t>Fung, CPO, Cermati</t>
  </si>
  <si>
    <t>Approvd</t>
  </si>
  <si>
    <t>Data driven approach to understand the problems</t>
  </si>
  <si>
    <t>KITAS</t>
  </si>
  <si>
    <t>Send your CV to adam@approvd.ai</t>
  </si>
  <si>
    <t>I Gusti Bagus P Lakshana</t>
  </si>
  <si>
    <t>Content Producer</t>
  </si>
  <si>
    <t>https://www.linkedin.com/in/i-gusti-bagus-prasetya-lakshana-0b3aa7b9/</t>
  </si>
  <si>
    <t>Tegar Bangun, Head Digital Marketing ANTV</t>
  </si>
  <si>
    <t>Yosephine Dinar</t>
  </si>
  <si>
    <r>
      <rPr>
        <u/>
        <sz val="10"/>
        <color rgb="FF1155CC"/>
        <rFont val="Arial"/>
      </rPr>
      <t>Approvd.ai</t>
    </r>
    <r>
      <rPr>
        <sz val="10"/>
        <color rgb="FF000000"/>
        <rFont val="Arial"/>
      </rPr>
      <t xml:space="preserve"> is a young startup focused on building B2B solutions for faster, more efficient and secure way to manage compliance approval processes for businesses and vendors. We are looking for key technical roles to help us achieve our vision and deliver a product that scales quickly and efficiently. Join us to work on innovative solutions that addresses problems faced by businesses small and large especially in the changing global marketplace landscape.
 Job Description:
 You will work to design, build, and support core systems powering </t>
    </r>
    <r>
      <rPr>
        <u/>
        <sz val="10"/>
        <color rgb="FF1155CC"/>
        <rFont val="Arial"/>
      </rPr>
      <t>Approvd.ai</t>
    </r>
    <r>
      <rPr>
        <sz val="10"/>
        <color rgb="FF000000"/>
        <rFont val="Arial"/>
      </rPr>
      <t xml:space="preserve"> 's user experience for our B2B compliance workflow product MVP and beyond
 You will build efficient, scalable, and robust product features powering a secure, simple-to-use and fast user experience.
 You will implement solutions to handle high levels of traffic, in a rapidly scaling environment.
 You will write well-tested, clean and secure code and ensure constant quality of code releases
 You will drive continuous product improvement and integration of new product features.
 You will work closely with the Tech Lead to ensure the product features are developed with business expansion and internationalisation objectives in mind.</t>
    </r>
  </si>
  <si>
    <t>OTA Performance Manager</t>
  </si>
  <si>
    <t>https://www.linkedin.com/in/yosephine-dinar/</t>
  </si>
  <si>
    <t>Minimum 3-5 years of relevant experience
 Proven experience as a Full Stack Developer or similar role
 Deep experience with JavaScript, HTML/CSS, Python, Go language and frameworks, and frontend technologies such as Node.js, React,
 Familiarity with databases (e.g. MySQL, MongoDB), web servers (e.g. Apache) and UI/UX design
 Experience working with Agile, Lean and Continuous Delivery approaches
 Knowledge in managing code deployment processes with a CI/CD pipeline
 Experience building cloud native scalable software architectures
 Building software in a security-conscious way, especially keeping in mind things like the OWASP top 10 vulnerabilities 
 Experience in developing mobile responsive sites or PWA
 Able to communicate effectively in written and verbal English
 Strong problem solving and communication skills</t>
  </si>
  <si>
    <t>Ida Ayu Dwi Cahyantari (OTA Performance Lead)</t>
  </si>
  <si>
    <t>Varisara Supachart</t>
  </si>
  <si>
    <t>Community Associate</t>
  </si>
  <si>
    <t>https://www.linkedin.com/in/varisara-supachart/</t>
  </si>
  <si>
    <t>React Native Engineer</t>
  </si>
  <si>
    <t>We're building MeetButter - the next generation of video conferencing platforms - fixing online meetings by allowing them to flow smooth as butter!
We're an experienced team of entrepreneurs that are now looking to expand the team with a developer responsible for our React Native app.
Be part of building MeetButter from the very early stages!
Key technologies are:
- iOS &amp; Android App: React Native app using Firebase, Redux, and GraphQL.
- Front-End: NextJS using React with Redux, CSS-in-JS, Material-UI, Webpack, GraphQL, and Firebase.
- Back-End: Express, Postgres (managed by Sequelize), Apollo GraphQL, and Firebase.
- Dev-Ops: AWS RDS, AWS ElasticBeanstalk, AWS EC2, AWS Elastic Load Balancing, Netlify.</t>
  </si>
  <si>
    <t>We're looking for someone with
- At least 1-2 years experience working with React Native
- Experience in working with app stores
- Bonus: Someone with WebRTC experience and integrating video conferencing functionality</t>
  </si>
  <si>
    <t>MeetButter</t>
  </si>
  <si>
    <t>Indonesia, Malaysia, Philippines</t>
  </si>
  <si>
    <t>https://meetbutter.io</t>
  </si>
  <si>
    <t>Anouk van der Laan</t>
  </si>
  <si>
    <t>Amy - Community Lead</t>
  </si>
  <si>
    <t>Poppy is highly motivated, quick on her feet and a team-player. As our Learning Ambassador, she's skilled in translation, relaying information and teaching peers new learning systems. Poppy's enthusiasm towards any and all tasks is admirable and I'm lucky to have been able work alongside her.</t>
  </si>
  <si>
    <t>Thai Citizen</t>
  </si>
  <si>
    <t>Rima Felyzia</t>
  </si>
  <si>
    <t xml:space="preserve">Head of Business Development </t>
  </si>
  <si>
    <t>Persada Entertainment</t>
  </si>
  <si>
    <t>https://www.linkedin.com/in/rimafelyzia/</t>
  </si>
  <si>
    <t>Send your CV to adam.wan@meetbutter.io</t>
  </si>
  <si>
    <t>veri ferdiansyah CTO Asumsi</t>
  </si>
  <si>
    <t>Satriyo Utomo</t>
  </si>
  <si>
    <t>City Operations Staff Golife</t>
  </si>
  <si>
    <t>Google &amp; Retargeting Specialist</t>
  </si>
  <si>
    <t>https://www.linkedin.com/in/satriyo-utomo-663b1393/</t>
  </si>
  <si>
    <t>Viona Ong (District Head Gojek Malang), Made Arya Wijaya (Regional Head Golife)</t>
  </si>
  <si>
    <t>Satriyo possesses creativity, sense of ownership, eagerness to learn, and a strong focus on results. He always looks for further areas of improvement or potential opportunities to explore and expand our business. It’s important to highlight that he is a great team player, good at problem solving and has good communication skill that proved beneficial and powerful to empower GoLife talents.</t>
  </si>
  <si>
    <t>Febriyan M Fajar</t>
  </si>
  <si>
    <t>the Google &amp; Retargeting Marketing Specialist will be expected to manage Google Adwords and feed-based marketing effort across Singapore, Australia and the United States. The Specialist will need to be knowledgeable in Search Engine Marketing and able to optimize campaigns to achieve the best ROI. The Specialist will interpret data to determine efficiencies of campaigns and identify opportunities to optimise performance constantly.</t>
  </si>
  <si>
    <t>Associate Product Owner</t>
  </si>
  <si>
    <t>Koinworks</t>
  </si>
  <si>
    <t>https://www.linkedin.com/in/febriyanmf/</t>
  </si>
  <si>
    <t>• Minimum 2 years hands-on Google Adwords experience 
 • In-depth knowledge of Google Analytics</t>
  </si>
  <si>
    <t>Castlery</t>
  </si>
  <si>
    <t>Furniture Retail</t>
  </si>
  <si>
    <t>BD and Partnerships, Engineering, Product, Finance, Ops, Data and analytics, Design</t>
  </si>
  <si>
    <t>https://www.linkedin.com/jobs/view/1878542218/</t>
  </si>
  <si>
    <t>Noviytanto, Product Owner of Koinworks</t>
  </si>
  <si>
    <t xml:space="preserve"> we together solving many problems, from ops team to tech infra. We were a good combination for handling every challenge.</t>
  </si>
  <si>
    <t>Jesse Welch</t>
  </si>
  <si>
    <t>Chief of Staff</t>
  </si>
  <si>
    <t>Corto</t>
  </si>
  <si>
    <t>www.linkedin.com/in/jeg26</t>
  </si>
  <si>
    <t>BD and Partnerships, Product, Finance, Ops, Data and analytics, Exec team, HR, People, Talent</t>
  </si>
  <si>
    <t>Remote</t>
  </si>
  <si>
    <t>Veri Ferdiansyah CTO</t>
  </si>
  <si>
    <t>Yves Bergquist - CEO</t>
  </si>
  <si>
    <t>Mike Ward - Senior Director of Investor Relations</t>
  </si>
  <si>
    <t>Evelyn Koh</t>
  </si>
  <si>
    <t>Food Program Manager, Workplace</t>
  </si>
  <si>
    <t xml:space="preserve">Airbnb Singapore </t>
  </si>
  <si>
    <t>www.linkedin.com/in/iamevekoh</t>
  </si>
  <si>
    <t>Ryan Ong, Strategic Innovation, Technology, Future @ Google</t>
  </si>
  <si>
    <t>Ng Seng Chor, Airbnb Regional Workplace Manager</t>
  </si>
  <si>
    <t>Apply via the URL or 
 email your resume to amelia.liew@castlery.com</t>
  </si>
  <si>
    <t>Niken Hidyarni</t>
  </si>
  <si>
    <t>Retail Banking Specialist</t>
  </si>
  <si>
    <t>CIMB Niaga Tbk</t>
  </si>
  <si>
    <t>https://www.linkedin.com/in/niken-hidyarni/</t>
  </si>
  <si>
    <t>Product, Finance, Data and analytics</t>
  </si>
  <si>
    <t>Austria</t>
  </si>
  <si>
    <t>Lucky Harfiandi @CIMB Niaga</t>
  </si>
  <si>
    <t>Freier Zugang zum Arbeitsmarkt</t>
  </si>
  <si>
    <t>Husnul Khotimah</t>
  </si>
  <si>
    <t>Public Relations Consultant</t>
  </si>
  <si>
    <t>Artemis Consultant</t>
  </si>
  <si>
    <t>https://www.linkedin.com/in/husnulkhoo/</t>
  </si>
  <si>
    <t>Inmas @ Artemis</t>
  </si>
  <si>
    <t>Eko Susilo</t>
  </si>
  <si>
    <t>Helochatid</t>
  </si>
  <si>
    <t>https://www.linkedin.com/in/iamucil</t>
  </si>
  <si>
    <t>LinkedIn Feed by Veri Ferdiansyah</t>
  </si>
  <si>
    <t>Puteri Salsabila</t>
  </si>
  <si>
    <t>Market researcher</t>
  </si>
  <si>
    <t>Nutrifood Indonesia</t>
  </si>
  <si>
    <t>www.linkedin.com/in/puteri-salsabila</t>
  </si>
  <si>
    <t>CTO at Asumsi posted on LinkedIn</t>
  </si>
  <si>
    <t>Raditya Wicaksana</t>
  </si>
  <si>
    <t>MOKA</t>
  </si>
  <si>
    <t>http://linkedin.com/in/radityaw</t>
  </si>
  <si>
    <t>Maria Saputri</t>
  </si>
  <si>
    <t>You can see it from my LinkedIn</t>
  </si>
  <si>
    <t>Haven’t got any Visa</t>
  </si>
  <si>
    <t>Azka Layalia Saffanah</t>
  </si>
  <si>
    <t>Junior Architect</t>
  </si>
  <si>
    <t>LABWRKS Architect</t>
  </si>
  <si>
    <t>https://www.linkedin.com/in/azkasaffanah/</t>
  </si>
  <si>
    <t>LInkedIn</t>
  </si>
  <si>
    <t>Azhari Nurrakhman, Principal Architect</t>
  </si>
  <si>
    <t>Ali Yaakub</t>
  </si>
  <si>
    <t>https://www.linkedin.com/in/ali-yaakub-680b5152/</t>
  </si>
  <si>
    <t>hengseng@99.co</t>
  </si>
  <si>
    <t xml:space="preserve">Novyanti Indria Ayu Kusumastuti </t>
  </si>
  <si>
    <t>Regional Fundraising and Communications Officer</t>
  </si>
  <si>
    <t xml:space="preserve">Asia Justice and Rights </t>
  </si>
  <si>
    <t>https://www.linkedin.com/in/novyanti-indria-ayu-kusumastuti-b2a4217b</t>
  </si>
  <si>
    <t>Marketing, Ops, HR, People, Talent</t>
  </si>
  <si>
    <t>Indria Fernida, Regional Coordinator @ Asia Justice and Rights</t>
  </si>
  <si>
    <t>Silvia Yulianti, Senior Partnerships Manager @ Atma Connect</t>
  </si>
  <si>
    <t>Nivena Bridia S</t>
  </si>
  <si>
    <t>Consultant (Account Manager)</t>
  </si>
  <si>
    <t>https://www.linkedin.com/in/nivenabridiasadikin/https://www.linkedin.com/in/nivenabridiasadikin/</t>
  </si>
  <si>
    <t xml:space="preserve">Atika @ Jenius </t>
  </si>
  <si>
    <t xml:space="preserve">Almo Ghozali </t>
  </si>
  <si>
    <t>Science and Business</t>
  </si>
  <si>
    <t xml:space="preserve">Kawan Lama Group </t>
  </si>
  <si>
    <t>Almo Ghozali</t>
  </si>
  <si>
    <t>In job discussion by Telegram</t>
  </si>
  <si>
    <t xml:space="preserve">Haris Mashabi as Business Representative at PT. Sanghiang Perkasa </t>
  </si>
  <si>
    <t>Haris said i am a good people and take responsiblity that good in public speaking and data analyze, also i have good experience in business</t>
  </si>
  <si>
    <t>Alex Du Jr.</t>
  </si>
  <si>
    <t>Pricing &amp; Data Analyst</t>
  </si>
  <si>
    <t>https://www.linkedin.com/in/alexdujr/</t>
  </si>
  <si>
    <t>Sneha Pishulalwani, Pricing Analyst @ Traveloka</t>
  </si>
  <si>
    <t>Albright Dy (Regional Head of Marketing Analytics - TH, VN, MY, &amp; PH Head of Trade Mktg &amp; Partnership - MY &amp; PH Country Marketing Head - PH)</t>
  </si>
  <si>
    <t>Recommendation from LinkedIn: "Alex has been one of the core team members in Traveloka PH being in charge of pricing analysis, strategy, and execution.  He has always shown commitment to learning as well as dedication to see things through every campaign and project.  Moreover, every one could count on him being versatile in handling multiple roles, products, and locales. He also has an amiable and well composed personality that would always lend a helping hand to anyone who might need his insight or expertise."</t>
  </si>
  <si>
    <t>Rifqi Alfadhillah Sentosa</t>
  </si>
  <si>
    <t>Training &amp; Support Consultant - for Mining Software</t>
  </si>
  <si>
    <t>Micromine</t>
  </si>
  <si>
    <t>https://www.linkedin.com/in/rifqi-alfadhillah-sentosa-320ba4120/</t>
  </si>
  <si>
    <t>PT Bumi Sarimas Indonesia</t>
  </si>
  <si>
    <t>Marketing, Engineering, Product, Ops</t>
  </si>
  <si>
    <t>Mulya - Operations Manager South East Asia @MICROMINE</t>
  </si>
  <si>
    <t>Rifqi is a fast-learner &amp; quick to understand the software product he is responsible to support</t>
  </si>
  <si>
    <t>Work Visa outside Indonesia</t>
  </si>
  <si>
    <t>Luky Fitriani</t>
  </si>
  <si>
    <t>Content manager</t>
  </si>
  <si>
    <t>Hipwee</t>
  </si>
  <si>
    <t>www.linkedin.com/in/lukyfitriani</t>
  </si>
  <si>
    <t>Rahma Hayuningdyah, Public Relations Manager</t>
  </si>
  <si>
    <t>Venkata Ravi T</t>
  </si>
  <si>
    <t xml:space="preserve">Vice President Delivery </t>
  </si>
  <si>
    <t>Fluentgrid Limited</t>
  </si>
  <si>
    <t>https://www.linkedin.com/in/ravitirumalaraju/</t>
  </si>
  <si>
    <t>Engineering, Product, Exec team</t>
  </si>
  <si>
    <t>Ratna-SVP</t>
  </si>
  <si>
    <t>Visa sponsorship is required if company wanted me to relocate.</t>
  </si>
  <si>
    <t>Aditya Sukarta</t>
  </si>
  <si>
    <t>Master Data Specialist</t>
  </si>
  <si>
    <t>https://www.linkedin.com/in/aditya-sukarta-28387079/</t>
  </si>
  <si>
    <t>Netherlands</t>
  </si>
  <si>
    <t>Timmy Haryono (Front end ops specialist) and Yaron Lourens (front end ops specialist)</t>
  </si>
  <si>
    <t>reliable and abosrbs knowledge quickly. Wantts to understand the whole process and not just do things</t>
  </si>
  <si>
    <t>Work Visa require</t>
  </si>
  <si>
    <t>Muhammad Rihanza Fadlitya</t>
  </si>
  <si>
    <t>Business Development Manager / Chief of Growth (Marketing, BD and Sales)</t>
  </si>
  <si>
    <t>Metroney &amp; PestaDiskon</t>
  </si>
  <si>
    <t>https://www.linkedin.com/in/rihanza/</t>
  </si>
  <si>
    <t>Mr. Veri Ferdiansyah, CTO @ Asumsi (LinkedIn Post)</t>
  </si>
  <si>
    <t>Gilang Marhadian, Head of Commercial at Metroney</t>
  </si>
  <si>
    <t>Rihanza is a very strategic enthusiast and willing to hands-on on any BD-Sales-Partnership related projects. He understand the process end-to-end and can adapt to any types of prospects easily. He is also an Entrepreneur with many stories which his rich knowledge can be useful for the business development</t>
  </si>
  <si>
    <t>Dinna Putri Aprila</t>
  </si>
  <si>
    <t>CRM Assistant Manager</t>
  </si>
  <si>
    <t>ISMAYA Group</t>
  </si>
  <si>
    <t>http://linkedin.com/in/dinnaputriaprila</t>
  </si>
  <si>
    <t>Veri Ferdiansyah, CTO at ASUMSI</t>
  </si>
  <si>
    <t>Ario Wirawan Haryono</t>
  </si>
  <si>
    <t>Hakuhodo Network Indonesia (LOTUS:H)</t>
  </si>
  <si>
    <t>https://www.linkedin.com/in/ariowirawan</t>
  </si>
  <si>
    <t>Boost Media International Pte Ltd</t>
  </si>
  <si>
    <t>Johnny Woo @ Carsome.com</t>
  </si>
  <si>
    <t>Johnny is a great partner to work with. He is fun, creative and a great team player.</t>
  </si>
  <si>
    <t>I need Singapore Working Visa</t>
  </si>
  <si>
    <t>Bagus Prasetiyo</t>
  </si>
  <si>
    <t>Hakuhodo Network Indonesia</t>
  </si>
  <si>
    <t>Albert A. Bagus Prasetiyo</t>
  </si>
  <si>
    <t>Ario Wirawan, Copywriter @ Hakuhodo Network Indonesia</t>
  </si>
  <si>
    <t>Kevin Tan</t>
  </si>
  <si>
    <t>Senior Commercial Manager</t>
  </si>
  <si>
    <t>ExCo Partners / Nine Entertainment</t>
  </si>
  <si>
    <t>https://www.linkedin.com/in/kevinwhtan</t>
  </si>
  <si>
    <t>BD and Partnerships, Product, Data and analytics, Exec team</t>
  </si>
  <si>
    <t>I chance upon this form on my linkedin feed</t>
  </si>
  <si>
    <t>John Roye, Director at KPMG</t>
  </si>
  <si>
    <t xml:space="preserve">John is one of the greatest leader I have worked for because he is very knowledgeable and knows how to bring the best our of his team and empower them. </t>
  </si>
  <si>
    <t>Singapore Citizen with Australian PR</t>
  </si>
  <si>
    <t>Sepriyadi</t>
  </si>
  <si>
    <t>English Teacher (spd)</t>
  </si>
  <si>
    <t>Not available</t>
  </si>
  <si>
    <t>Marketing, Sales, Product, HR, People, Talent, Design</t>
  </si>
  <si>
    <t xml:space="preserve">Yeni Oktapriani </t>
  </si>
  <si>
    <t>Nurprima selly dm</t>
  </si>
  <si>
    <t>Social person n humble</t>
  </si>
  <si>
    <t>Sheilla Quinita</t>
  </si>
  <si>
    <t>Senior Marketing Specialist</t>
  </si>
  <si>
    <t>https://www.linkedin.com/in/sheilla-quinita/</t>
  </si>
  <si>
    <t>Stephanie, Regional BD Manager @ Janio Asia</t>
  </si>
  <si>
    <t>Stephanie Indah, Regional Business Development Manager</t>
  </si>
  <si>
    <t>Sheilla is a PR oriented person, whatever she does, she always consider company's policy and image branding. She values herself as part of company who has high ownership to the company.</t>
  </si>
  <si>
    <t>Hugo Mar</t>
  </si>
  <si>
    <t>https://www.linkedin.com/in/hugo-mar-82711190/</t>
  </si>
  <si>
    <t>need working visa</t>
  </si>
  <si>
    <t>Mahesa Sunt Servanda</t>
  </si>
  <si>
    <t>SAP Business Analyst</t>
  </si>
  <si>
    <t>https://www.linkedin.com/in/mahesa-sunt-servanda/</t>
  </si>
  <si>
    <t>Alicia Lee</t>
  </si>
  <si>
    <t>https://www.linkedin.com/in/alicialee8104/</t>
  </si>
  <si>
    <t>Engineering, Exec team, Design</t>
  </si>
  <si>
    <t>Firdha Yuninda</t>
  </si>
  <si>
    <t>Senior Account Executive Sales and Business Development</t>
  </si>
  <si>
    <t>ReCharge indonesia</t>
  </si>
  <si>
    <t>https://www.linkedin.com/in/firdhayuninda/en?originalSubdomain=id</t>
  </si>
  <si>
    <t>Evi Teja, Business Development Supervisor, UMMA</t>
  </si>
  <si>
    <t>R Bregas Wirotomo</t>
  </si>
  <si>
    <t>Operations Business Acceleration</t>
  </si>
  <si>
    <t>https://www.linkedin.com/in/bregaswirotomo/</t>
  </si>
  <si>
    <t>Betari Salsya, Marketing @Siemens</t>
  </si>
  <si>
    <t xml:space="preserve">Andreina Caniggia </t>
  </si>
  <si>
    <t xml:space="preserve">HR GA Communication </t>
  </si>
  <si>
    <t xml:space="preserve">JakPro JSL ITF Sunter </t>
  </si>
  <si>
    <t>https://www.linkedin.com/in/acaniggia</t>
  </si>
  <si>
    <t>puji.exactly@pt-jsl.com</t>
  </si>
  <si>
    <t xml:space="preserve">Syafira Zahra, Project Executive Assistant </t>
  </si>
  <si>
    <t>Djupri, Procurement Manager</t>
  </si>
  <si>
    <t>Alexandri Mumuh</t>
  </si>
  <si>
    <t>Grivy.com</t>
  </si>
  <si>
    <t>linkedin.com/in/alexandri-mumuh-b0b129173</t>
  </si>
  <si>
    <t>Veri Ferdiansyah, CTO Asumsi</t>
  </si>
  <si>
    <t>Dwi Bastiaan</t>
  </si>
  <si>
    <t>Program Director</t>
  </si>
  <si>
    <t>https://www.linkedin.com/in/dwi-bastiaan-394b0768</t>
  </si>
  <si>
    <t>BD and Partnerships, Product, HR, People, Talent</t>
  </si>
  <si>
    <t>Veri Ferdiansyah @ Asumsi</t>
  </si>
  <si>
    <t>Jacob Schafer Program Director</t>
  </si>
  <si>
    <t>Chasa Sangkavutichaikul</t>
  </si>
  <si>
    <t>Regional Marketing Data Product (Business Intelligence) Senior Analyst</t>
  </si>
  <si>
    <t>https://www.linkedin.com/in/chasa-sangkavutichaikul-0630a74b/</t>
  </si>
  <si>
    <t>Zethwood Sukcharoen</t>
  </si>
  <si>
    <t>EP/ SPass (Currently hold SPass)</t>
  </si>
  <si>
    <t>Munish kapoor</t>
  </si>
  <si>
    <t>https://www.linkedin.com/in/munish-kapoor-82b77629/</t>
  </si>
  <si>
    <t>Mario Bryan Tan</t>
  </si>
  <si>
    <t>Data Engineer / ETL</t>
  </si>
  <si>
    <t>https://www.linkedin.com/in/mariobryantan</t>
  </si>
  <si>
    <t>Udit Sarin</t>
  </si>
  <si>
    <t>PR &amp; Communications Manager</t>
  </si>
  <si>
    <t>http://www.linkedin.com/in/dmulani</t>
  </si>
  <si>
    <t>Tanmoy Chakraborty</t>
  </si>
  <si>
    <t>https://www.linkedin.com/in/tanmoy-chakraborty-720391a4/</t>
  </si>
  <si>
    <t>Cai Di</t>
  </si>
  <si>
    <t>www.linkedin.com/in/caidi</t>
  </si>
  <si>
    <t>Joseph Correa</t>
  </si>
  <si>
    <t>General Data Analytics</t>
  </si>
  <si>
    <t>https://www.linkedin.com/in/joseph-correa-a7852a82/</t>
  </si>
  <si>
    <t>Teo Choong Ping</t>
  </si>
  <si>
    <t>software engineering</t>
  </si>
  <si>
    <t>https://www.linkedin.com/in/teo-choong-ping/</t>
  </si>
  <si>
    <t>Wiljan Melad</t>
  </si>
  <si>
    <t>https://www.linkedin.com/in/wiljan-melad/</t>
  </si>
  <si>
    <t>Anupam Mukherjee</t>
  </si>
  <si>
    <t>https://www.linkedin.com/in/anupam-mukherjee-66b73319/</t>
  </si>
  <si>
    <t>Amit Gupta</t>
  </si>
  <si>
    <t>Product &amp; Tech Management</t>
  </si>
  <si>
    <t>linkedin.com/in/amit-gupta-40a2206</t>
  </si>
  <si>
    <t>Rubi Saini</t>
  </si>
  <si>
    <t>https://www.linkedin.com/in/rubisaini/</t>
  </si>
  <si>
    <t>https://in.linkedin.com/in/tarungupta15</t>
  </si>
  <si>
    <t>Dhiraj Sharma</t>
  </si>
  <si>
    <t>https://www.linkedin.com/in/dhiraj-sharma-a60a5791/</t>
  </si>
  <si>
    <t>https://www.linkedin.com/in/sanya-agarwal-b50232110/</t>
  </si>
  <si>
    <t>Chan Mye Win</t>
  </si>
  <si>
    <t>Content Curation / Specialist</t>
  </si>
  <si>
    <t>https://www.linkedin.com/in/chan-mye-win-514163190/</t>
  </si>
  <si>
    <t>Aankita Mukherjee</t>
  </si>
  <si>
    <t>https://www.linkedin.com/in/aankita-mukherjee/</t>
  </si>
  <si>
    <t>Agnes Neo</t>
  </si>
  <si>
    <t>Content specialist</t>
  </si>
  <si>
    <t>Lavena Patra</t>
  </si>
  <si>
    <t>https://www.linkedin.com/in/lpatra/</t>
  </si>
  <si>
    <t>Arun Sridharan</t>
  </si>
  <si>
    <t>Senior Quality Automation Engineer</t>
  </si>
  <si>
    <t>https://www.linkedin.com/in/sridharanarun/</t>
  </si>
  <si>
    <t>Md Afsar Ali</t>
  </si>
  <si>
    <t>Rendy Febry</t>
  </si>
  <si>
    <t>Fullstack / System Engineer</t>
  </si>
  <si>
    <t>https://www.linkedin.com/in/rendyfebry/</t>
  </si>
  <si>
    <t>Head of Cloud Engineering and SRE</t>
  </si>
  <si>
    <t>Syukur Achmad Syarif</t>
  </si>
  <si>
    <t>https://www.linkedin.com/in/syukur-achmad/</t>
  </si>
  <si>
    <t>Rahmat Nugraha</t>
  </si>
  <si>
    <t>https://linkedin.com/in/rahmatnugr</t>
  </si>
  <si>
    <t>Abir Datta</t>
  </si>
  <si>
    <t>Senior Cloud Devops Engineer</t>
  </si>
  <si>
    <t>https://www.linkedin.com/in/abirdatta/</t>
  </si>
  <si>
    <t>Iswariya Madhavan</t>
  </si>
  <si>
    <t>https://www.linkedin.com/in/aiswariya-madhavan-4506b0b9/</t>
  </si>
  <si>
    <t>Akshay Ishwar</t>
  </si>
  <si>
    <t>Product Management (Senior PM, Payments and Subscriptions)</t>
  </si>
  <si>
    <t>https://www.linkedin.com/in/akshay-ishwar/</t>
  </si>
  <si>
    <t>Sharon Seakar</t>
  </si>
  <si>
    <t>Content Analytics Manager</t>
  </si>
  <si>
    <t>https://www.linkedin.com/in/sharon-seakar-904013106/</t>
  </si>
  <si>
    <t>Nanthakumar</t>
  </si>
  <si>
    <t>Senior Content Executive/Content Operations</t>
  </si>
  <si>
    <t>https://www.linkedin.com/in/nanthakumar-ananthan-5a4bb6184/</t>
  </si>
  <si>
    <t>Mew</t>
  </si>
  <si>
    <t>https://www.linkedin.com/in/wipawan-amornchairattanakul-a962a692/</t>
  </si>
  <si>
    <t>Luis Xavier Diokno</t>
  </si>
  <si>
    <t>Creative Producer (Marketing with experience in Content)</t>
  </si>
  <si>
    <t>https://www.linkedin.com/in/luis-diokno-3b635a129/</t>
  </si>
  <si>
    <t>Siddharth Mehrotra</t>
  </si>
  <si>
    <t>https://www.linkedin.com/in/sidmehrotra/</t>
  </si>
  <si>
    <t>Rina Alfrina</t>
  </si>
  <si>
    <t>https://www.linkedin.com/in/alfrina/</t>
  </si>
  <si>
    <t>Boy Sandy Gladies A.</t>
  </si>
  <si>
    <t>https://www.linkedin.com/in/renodesper/</t>
  </si>
  <si>
    <t>QP Kwek</t>
  </si>
  <si>
    <t>https://www.linkedin.com/in/qpkwek/</t>
  </si>
  <si>
    <t>Krutik Khandhadiya</t>
  </si>
  <si>
    <t>https://www.linkedin.com/in/krutik-khandhadiya-43582616/</t>
  </si>
  <si>
    <t>Mykee Alvero</t>
  </si>
  <si>
    <t>https://www.linkedin.com/in/mykee-alvero-94b6889a/</t>
  </si>
  <si>
    <t>Yayan Kuswara</t>
  </si>
  <si>
    <t>QA Automation Engineer</t>
  </si>
  <si>
    <t>https://www.linkedin.com/in/yayan-kuswara-a23b50a9/</t>
  </si>
  <si>
    <t>Roselle May S Enriquez-Remulta</t>
  </si>
  <si>
    <t>PH Country Program Manager</t>
  </si>
  <si>
    <t>https://www.linkedin.com/in/rosellemayenriquez/</t>
  </si>
  <si>
    <t>Rizki Dwi Putra</t>
  </si>
  <si>
    <t>https://www.linkedin.com/in/rizkidwiputra</t>
  </si>
  <si>
    <t>Depa Panjie Purnama</t>
  </si>
  <si>
    <t>Quality Engineer</t>
  </si>
  <si>
    <t>https://www.linkedin.com/in/depapp</t>
  </si>
  <si>
    <t>Luthfi Fathur Rahman</t>
  </si>
  <si>
    <t>Sofware Engineer (iOS)</t>
  </si>
  <si>
    <t>https://www.linkedin.com/in/luthfifr/</t>
  </si>
  <si>
    <t>Claire Pauya</t>
  </si>
  <si>
    <t>Content Operations</t>
  </si>
  <si>
    <t>https://www.linkedin.com/in/clairepauya/</t>
  </si>
  <si>
    <t>Medella Cancer Cure Centre</t>
  </si>
  <si>
    <t>Geeta Ramesh</t>
  </si>
  <si>
    <t>linkedin.com/in/geetamanisha</t>
  </si>
  <si>
    <t>Jae Yeon Ham</t>
  </si>
  <si>
    <t>Original Content - Producer</t>
  </si>
  <si>
    <t>https://www.linkedin.com/in/jaeyeonham/</t>
  </si>
  <si>
    <t>Abhilash Chelankara</t>
  </si>
  <si>
    <t>https://www.linkedin.com/in/abhilashchelankara/</t>
  </si>
  <si>
    <t>Martha Del Rosario</t>
  </si>
  <si>
    <t>https://www.linkedin.com/in/rmidelrosario/</t>
  </si>
  <si>
    <t>Jim Dela Cruz</t>
  </si>
  <si>
    <t>Content Operations Executive</t>
  </si>
  <si>
    <t>https://www.linkedin.com/in/jimdelacruz/</t>
  </si>
  <si>
    <t>Adham Somantrie</t>
  </si>
  <si>
    <t>PR, Social Media, Community</t>
  </si>
  <si>
    <t>https://www.linkedin.com/in/adhamsomantrie/</t>
  </si>
  <si>
    <t>Vance Chinjen</t>
  </si>
  <si>
    <t>https://www.linkedin.com/in/vancechinjen</t>
  </si>
  <si>
    <t>Galuh Dasalauda</t>
  </si>
  <si>
    <t>Graphic Designer / Content</t>
  </si>
  <si>
    <t>https://www.linkedin.com/in/galuh-dasalauda-94597318b/</t>
  </si>
  <si>
    <t>Sudtida Bunmee</t>
  </si>
  <si>
    <t>CS Assistant Manager</t>
  </si>
  <si>
    <t>Raseena Thanveer</t>
  </si>
  <si>
    <t>Program/ Project Management</t>
  </si>
  <si>
    <t>https://www.linkedin.com/in/raseena-thanveer-86600b32/</t>
  </si>
  <si>
    <t>Katherine Mae Romanillos</t>
  </si>
  <si>
    <t>Regional Operations Manager - Customer Service</t>
  </si>
  <si>
    <t>https://www.linkedin.com/in/katherine-mae-romanillos-24165861/</t>
  </si>
  <si>
    <t>Jose Raphael Agoncillo</t>
  </si>
  <si>
    <t>https://www.linkedin.com/in/raphael-agoncillo-8661074b/</t>
  </si>
  <si>
    <t>Cai Xinya</t>
  </si>
  <si>
    <t>UX writer</t>
  </si>
  <si>
    <t>https://www.linkedin.com/in/xinyacai</t>
  </si>
  <si>
    <t>Trish Manauis</t>
  </si>
  <si>
    <t>Alexander Wilkinson</t>
  </si>
  <si>
    <t>Frontend Developer</t>
  </si>
  <si>
    <t>https://www.linkedin.com/in/wilkinsonalexander/</t>
  </si>
  <si>
    <t>Chetan Phirke</t>
  </si>
  <si>
    <t>Full stack Developer</t>
  </si>
  <si>
    <t>https://www.linkedin.com/in/chetanphirke/</t>
  </si>
  <si>
    <t>Ritu Kukreja</t>
  </si>
  <si>
    <t>Product Management/Program Management/Partnerships</t>
  </si>
  <si>
    <t>https://www.linkedin.com/in/ritu-kukreja-98298a3/</t>
  </si>
  <si>
    <t>Aisyah Razak</t>
  </si>
  <si>
    <t>Content Acquisition Manager</t>
  </si>
  <si>
    <t>linkedin.com/in/aisyahrzk</t>
  </si>
  <si>
    <t>Irawan Danoe Koencoro</t>
  </si>
  <si>
    <t>Digital Marketing, Partnership OTT</t>
  </si>
  <si>
    <t>https://www.linkedin.com/in/irawan-danoe-44068425/</t>
  </si>
  <si>
    <t>Aditi Khandelwal</t>
  </si>
  <si>
    <t>Marketing Manager (CRM)</t>
  </si>
  <si>
    <t>https://www.linkedin.com/in/khandelwaladiti/</t>
  </si>
  <si>
    <t>Bayu Prambudi Mahendra</t>
  </si>
  <si>
    <t>https://www.linkedin.com/in/bayu-prambudi-mahendra-3b6a763b/</t>
  </si>
  <si>
    <t>Omar Gepiga</t>
  </si>
  <si>
    <t>Head of Content Marketing</t>
  </si>
  <si>
    <t>http://linkedin.com/in/omar-gepiga-55b0a71</t>
  </si>
  <si>
    <t>Deny Verianto</t>
  </si>
  <si>
    <t>Country Program &amp; Product Manager</t>
  </si>
  <si>
    <t>https://www.linkedin.com/in/denyverianto</t>
  </si>
  <si>
    <t>Wu Huijie</t>
  </si>
  <si>
    <t>Engineering Manager</t>
  </si>
  <si>
    <t>https://www.linkedin.com/in/huijie-wu-41831867/</t>
  </si>
  <si>
    <t>Arun Narayanan TV</t>
  </si>
  <si>
    <t>Content Analytics</t>
  </si>
  <si>
    <t>https://www.linkedin.com/in/arun-narayanan-6b6bb131/</t>
  </si>
  <si>
    <t>Chiang Chee Weng</t>
  </si>
  <si>
    <t>https://www.linkedin.com/in/chee-weng-chiang-b9507410</t>
  </si>
  <si>
    <t>Heerosha d/o Sreetharan</t>
  </si>
  <si>
    <t>https://www.linkedin.com/in/heerosha-sreetharan-1b4150185/</t>
  </si>
  <si>
    <t>Cyrile Cabrera</t>
  </si>
  <si>
    <t>QA Release Manager</t>
  </si>
  <si>
    <t>https://www.linkedin.com/in/cyrile-t-cabrera/</t>
  </si>
  <si>
    <t>Lexter Nano</t>
  </si>
  <si>
    <t>CRM Campaign Manager</t>
  </si>
  <si>
    <t>https://www.linkedin.com/in/lexternano/</t>
  </si>
  <si>
    <t>Mervyn Chua</t>
  </si>
  <si>
    <t>Regional Senior Manager - Digital Marketing</t>
  </si>
  <si>
    <t>https://www.linkedin.com/in/mervyn-chua-7b335b30/</t>
  </si>
  <si>
    <t>Sean Poh</t>
  </si>
  <si>
    <t>Legal Counsel</t>
  </si>
  <si>
    <t>https://www.linkedin.com/in/sean-poh-52791031/</t>
  </si>
  <si>
    <t>Gerald Wong Wei Chuen</t>
  </si>
  <si>
    <t>https://www.linkedin.com/in/gerald-wong-a794b9169/</t>
  </si>
  <si>
    <t>Angelia</t>
  </si>
  <si>
    <t>https://www.linkedin.com/in/angelia-ma/</t>
  </si>
  <si>
    <t>Indra Santosa</t>
  </si>
  <si>
    <t>Web Team Lead</t>
  </si>
  <si>
    <t>https://www.linkedin.com/in/indrasantosa/</t>
  </si>
  <si>
    <t>Diky Pratansyah</t>
  </si>
  <si>
    <t>Fullstack/Backend Engineer</t>
  </si>
  <si>
    <t>https://www.linkedin.com/in/pratansyah/</t>
  </si>
  <si>
    <t>Neeraja Lalitha Muralidharan</t>
  </si>
  <si>
    <t>Analytics Manager - Marketing</t>
  </si>
  <si>
    <t>linkedin.com/in/neeraja-lalitha-muralidharan-110a18137</t>
  </si>
  <si>
    <t>Feng Yalian</t>
  </si>
  <si>
    <t>https://www.linkedin.com/in/ylfeng/</t>
  </si>
  <si>
    <t>Chris Costello</t>
  </si>
  <si>
    <t>Regional Creative Head</t>
  </si>
  <si>
    <t>https://www.linkedin.com/in/chris-costello/</t>
  </si>
  <si>
    <t>Manila</t>
  </si>
  <si>
    <t>Hera Laxmi Devi S.</t>
  </si>
  <si>
    <t>https://www.linkedin.com/in/hldseptiani/</t>
  </si>
  <si>
    <t>Samuel Pradipta</t>
  </si>
  <si>
    <t>https://www.linkedin.com/in/sammypradipta/</t>
  </si>
  <si>
    <t>Poosanee Tantacha (Kookie)</t>
  </si>
  <si>
    <t>Senior Content Manager</t>
  </si>
  <si>
    <t>https://www.linkedin.com/in/kookie-tantacha-22422b46</t>
  </si>
  <si>
    <t>Sarah Dillon</t>
  </si>
  <si>
    <t>Singapore Content Lead</t>
  </si>
  <si>
    <t>https://www.linkedin.com/in/sarah-dillon-mcguinness-01664477/</t>
  </si>
  <si>
    <t>Siriporn Smaphunthu (Gift)</t>
  </si>
  <si>
    <t>Wasin Klinchan (Bank)</t>
  </si>
  <si>
    <t>Annapat Supasitmongkol (Lhee)</t>
  </si>
  <si>
    <t>Partnership Manager</t>
  </si>
  <si>
    <t>Santica Kusno</t>
  </si>
  <si>
    <t>Content Graphic Designer</t>
  </si>
  <si>
    <t>https://www.linkedin.com/in/santicakusno/</t>
  </si>
  <si>
    <t>Patricia Paedes</t>
  </si>
  <si>
    <t>https://www.linkedin.com/in/patricia-paredes-ph/</t>
  </si>
  <si>
    <t>Andre Low</t>
  </si>
  <si>
    <t>MBA Student / Product Manager</t>
  </si>
  <si>
    <t>INSEAD / Neuron Mobility</t>
  </si>
  <si>
    <t>https://www.linkedin.com/in/andrelow</t>
  </si>
  <si>
    <t>andrelowwy@gmail.com</t>
  </si>
  <si>
    <t>Ported from Aileen's List w/ consent</t>
  </si>
  <si>
    <t>Kris Zhang</t>
  </si>
  <si>
    <t>Andrew Yang 2020 (US Presidential Campaign)</t>
  </si>
  <si>
    <t>https://www.linkedin.com/in/kriszhang01/</t>
  </si>
  <si>
    <t>Foo Ji-Haw</t>
  </si>
  <si>
    <t>Snr Product Manager</t>
  </si>
  <si>
    <t>https://www.linkedin.com/in/foojihaw</t>
  </si>
  <si>
    <t>Eindra K</t>
  </si>
  <si>
    <t>Research Intern (Human-Computer Interaction)</t>
  </si>
  <si>
    <t>Brown University</t>
  </si>
  <si>
    <t>https://www.linkedin.com/mwlite/in/eindra-k-5730a3186</t>
  </si>
  <si>
    <t>Research</t>
  </si>
  <si>
    <t>Other</t>
  </si>
  <si>
    <t>Saumya Agrawal</t>
  </si>
  <si>
    <t>https://www.linkedin.com/in/saumyagr/</t>
  </si>
  <si>
    <t>Treavies Agassy</t>
  </si>
  <si>
    <t>Bussr</t>
  </si>
  <si>
    <t>https://www.linkedin.com/in/treaviesagassy/</t>
  </si>
  <si>
    <t>Sarah Leviseur</t>
  </si>
  <si>
    <t>Attest</t>
  </si>
  <si>
    <t>https://www.linkedin.com/in/sarah-leviseur/</t>
  </si>
  <si>
    <t>Jemima Kwok</t>
  </si>
  <si>
    <t>DBS Bank</t>
  </si>
  <si>
    <t>https://www.linkedin.com/in/jemima-kwok</t>
  </si>
  <si>
    <t>Gilyn Heng</t>
  </si>
  <si>
    <t>Regional People Manager</t>
  </si>
  <si>
    <t>Abakus Asia Pacific Pte Ltd</t>
  </si>
  <si>
    <t>https://www.linkedin.com/in/gilyn-heng-58405a40</t>
  </si>
  <si>
    <t>HR</t>
  </si>
  <si>
    <t xml:space="preserve">Muhammad Arkaan </t>
  </si>
  <si>
    <t>Computer Vision</t>
  </si>
  <si>
    <t>https://www.linkedin.com/in/arkaan-izhraqi/</t>
  </si>
  <si>
    <t>arkaan.izhraqi@gmail.com</t>
  </si>
  <si>
    <t>Machine Learning</t>
  </si>
  <si>
    <t>Ported from SweetEscape list w/ consent</t>
  </si>
  <si>
    <t>Maystya Tri Handono</t>
  </si>
  <si>
    <t>https://www.linkedin.com/in/maystya/</t>
  </si>
  <si>
    <t>maystya@gmail.com</t>
  </si>
  <si>
    <t>Muhammad Ryanda Andhika</t>
  </si>
  <si>
    <t>https://www.linkedin.com/in/muhammad-ryanda-andhika-a479a9a6/</t>
  </si>
  <si>
    <t>ryandaandhika@gmail.com</t>
  </si>
  <si>
    <t>Intan Parameswari</t>
  </si>
  <si>
    <t>Finance &amp; Accounting</t>
  </si>
  <si>
    <t>https://www.linkedin.com/in/iparameswari/</t>
  </si>
  <si>
    <t>intan.p.kusumoputri@gmail.com</t>
  </si>
  <si>
    <t>Devita Rahma</t>
  </si>
  <si>
    <t>https://www.linkedin.com/in/devita-rahma/</t>
  </si>
  <si>
    <t>devitar@outlook.com</t>
  </si>
  <si>
    <t>Syifa Hersista</t>
  </si>
  <si>
    <t>https://www.linkedin.com/in/syifa-hersista/</t>
  </si>
  <si>
    <t>syifa.hersista@gmail.com</t>
  </si>
  <si>
    <t>Farah Agia</t>
  </si>
  <si>
    <t>https://www.linkedin.com/in/farah-agia/</t>
  </si>
  <si>
    <t>farahagiar@gmail.com</t>
  </si>
  <si>
    <t>Product Design</t>
  </si>
  <si>
    <t>Kelly Xenia</t>
  </si>
  <si>
    <t>https://www.linkedin.com/in/kelly-xenia-77kx/</t>
  </si>
  <si>
    <t>kellyxenia77@gmail.com</t>
  </si>
  <si>
    <t>Dwi Shakti  Mangkuratmaja</t>
  </si>
  <si>
    <t>Production Executive</t>
  </si>
  <si>
    <t>https://www.linkedin.com/in/dwishaktimangkuratmaja/</t>
  </si>
  <si>
    <t>dwishakti13@gmail.com</t>
  </si>
  <si>
    <t>Creative</t>
  </si>
  <si>
    <t>Novel Partogi  Matias Mamesah</t>
  </si>
  <si>
    <t>TBC</t>
  </si>
  <si>
    <t>novellmattcinema@gmail.com</t>
  </si>
  <si>
    <t>Tommy  Septiandy</t>
  </si>
  <si>
    <t>https://www.linkedin.com/in/tommyseptiandy/</t>
  </si>
  <si>
    <t>tommyseptiandiatie@yahoo.co.id</t>
  </si>
  <si>
    <t>Natalia Artanta  Christina</t>
  </si>
  <si>
    <t>naytobing@gmail.com</t>
  </si>
  <si>
    <t>Vanya Putridita</t>
  </si>
  <si>
    <t>https://www.linkedin.com/in/vanya-putridita-143a31168/</t>
  </si>
  <si>
    <t>vanyaputridita29@gmail.com</t>
  </si>
  <si>
    <t>Andhita  Zerlina</t>
  </si>
  <si>
    <t>Jr. Influencer Marketing Manager</t>
  </si>
  <si>
    <t>https://www.linkedin.com/in/andhita-zerlina-795b3992/</t>
  </si>
  <si>
    <t>zerlinandhita@gmail.com</t>
  </si>
  <si>
    <t>Febbyana Wiramihardja</t>
  </si>
  <si>
    <t>https://www.linkedin.com/in/febbywiramihardja/</t>
  </si>
  <si>
    <t>febbyana.wiramihardja@gmail.com</t>
  </si>
  <si>
    <t>Olivia Ang</t>
  </si>
  <si>
    <t>olivia.ang97@gmail.com</t>
  </si>
  <si>
    <t>Prawira Wardana</t>
  </si>
  <si>
    <t>https://www.linkedin.com/in/prawira-wardana-390665167/</t>
  </si>
  <si>
    <t>wardanaprawira@gmail.com</t>
  </si>
  <si>
    <t>Wisnu Febrianto</t>
  </si>
  <si>
    <t>https://www.linkedin.com/in/wisnu-tri-febrianto-72227788/</t>
  </si>
  <si>
    <t>wisnutrifebrianto@gmail.com</t>
  </si>
  <si>
    <t>Raditio Permadi</t>
  </si>
  <si>
    <t>Photographer Relations</t>
  </si>
  <si>
    <t>https://www.linkedin.com/in/raditio-permadi-soeryonegoro-6a1714b7/</t>
  </si>
  <si>
    <t>raditiopermadi@yahoo.com</t>
  </si>
  <si>
    <t>Anggie Firiera</t>
  </si>
  <si>
    <t>https://www.linkedin.com/in/firiera/</t>
  </si>
  <si>
    <t>anggie.firiera@gmail.com</t>
  </si>
  <si>
    <t>Prasanda Martha Sheila</t>
  </si>
  <si>
    <t>Client Relations</t>
  </si>
  <si>
    <t>https://www.linkedin.com/in/prasanda-martha-sheila-aba13a141/</t>
  </si>
  <si>
    <t>grainsyel@gmail.com</t>
  </si>
  <si>
    <t>Gabriele Nathania</t>
  </si>
  <si>
    <t>https://www.linkedin.com/in/gabriele-nathania-535b26150/</t>
  </si>
  <si>
    <t>gabriele_nathania@yahoo.com</t>
  </si>
  <si>
    <t>Prajnatara</t>
  </si>
  <si>
    <t>https://www.linkedin.com/in/prajnatara-prajnatara/</t>
  </si>
  <si>
    <t>Prajnatara.jonkoping@gmail.com</t>
  </si>
  <si>
    <t>Nuur Al Qodr Napisah</t>
  </si>
  <si>
    <t>https://www.linkedin.com/in/nafisand/</t>
  </si>
  <si>
    <t>nafeesa9394@gmail.com</t>
  </si>
  <si>
    <t>Yosua</t>
  </si>
  <si>
    <t>Operations Lead - Photo Editor</t>
  </si>
  <si>
    <t>https://www.linkedin.com/in/joshua-tremonti-50a6a1127/</t>
  </si>
  <si>
    <t>jozzhtremonti@gmail.com</t>
  </si>
  <si>
    <t>Pravianti Anindita</t>
  </si>
  <si>
    <t>https://www.linkedin.com/in/pravianti-anindita-nastiti-726155b6/</t>
  </si>
  <si>
    <t>avipravianti@gmail.com</t>
  </si>
  <si>
    <t>Reinarddy Djohan</t>
  </si>
  <si>
    <t>https://www.linkedin.com/in/reinarddy-djohan-05193811b/</t>
  </si>
  <si>
    <t>reinarddy@gmail.com</t>
  </si>
  <si>
    <t>Eric Jodhy</t>
  </si>
  <si>
    <t>https://www.linkedin.com/in/eric-jodhy-4372bb104/</t>
  </si>
  <si>
    <t>ericjodhy@gmail.com</t>
  </si>
  <si>
    <t>Yohanes Yogie</t>
  </si>
  <si>
    <t>https://www.linkedin.com/in/yohanes-yogie-037ba0139/</t>
  </si>
  <si>
    <t>Yohanesyogie9@gmail.com</t>
  </si>
  <si>
    <t>Alyssa Nadira</t>
  </si>
  <si>
    <t>https://www.linkedin.com/in/alyssa-nadira-hamid-ba195b153/</t>
  </si>
  <si>
    <t>alyssandr@yahoo.com</t>
  </si>
  <si>
    <t>Renee Ngo</t>
  </si>
  <si>
    <t>https://www.linkedin.com/in/renee-ngo/</t>
  </si>
  <si>
    <t>renee.anne.ngo@gmail.com</t>
  </si>
  <si>
    <t>Partnership</t>
  </si>
  <si>
    <t>Danica Coronel</t>
  </si>
  <si>
    <t>Brand Partnership Executive</t>
  </si>
  <si>
    <t>https://www.linkedin.com/in/danicacoronel/</t>
  </si>
  <si>
    <t>danicacoronel@gmail.com</t>
  </si>
  <si>
    <t>Louisa Pantangco</t>
  </si>
  <si>
    <t>Influencer Marketing Manager</t>
  </si>
  <si>
    <t>https://www.linkedin.com/in/louisa-pantangco-9144b551/</t>
  </si>
  <si>
    <t xml:space="preserve">poblete.louisa@gmail.com </t>
  </si>
  <si>
    <t>Iya de Leon</t>
  </si>
  <si>
    <t>https://www.linkedin.com/in/maniyadeleon/</t>
  </si>
  <si>
    <t>iyadeleon@yahoo.com</t>
  </si>
  <si>
    <t>Vivitania Budidjaja</t>
  </si>
  <si>
    <t>Operations Lead - Client Relations</t>
  </si>
  <si>
    <t>https://www.linkedin.com/in/vivitania-budidjaja-a94619b4/</t>
  </si>
  <si>
    <t>Vivitania.budidjaja@gmail.com</t>
  </si>
  <si>
    <t>Elvi</t>
  </si>
  <si>
    <t>https://www.linkedin.com/in/elvithe/</t>
  </si>
  <si>
    <t>elvithe@gmail.com</t>
  </si>
  <si>
    <t>Revina Cunardi</t>
  </si>
  <si>
    <t>https://www.linkedin.com/in/revinacunardi/</t>
  </si>
  <si>
    <t>revinacunardi@gmail.com</t>
  </si>
  <si>
    <t>Sebabrata Banerjee</t>
  </si>
  <si>
    <t>Head of Data Monetisation</t>
  </si>
  <si>
    <t>https://www.linkedin.com/in/sebo-banerjee/</t>
  </si>
  <si>
    <t>Data Platform, CRM &amp; Loyalty</t>
  </si>
  <si>
    <t>Ported from CTCD List with consent</t>
  </si>
  <si>
    <t>Visa required outside India</t>
  </si>
  <si>
    <t>Krisniagasari Taslim</t>
  </si>
  <si>
    <t>CRM Manager</t>
  </si>
  <si>
    <t>Loyalty &amp; CRM</t>
  </si>
  <si>
    <t>Visa required outside Indonesia</t>
  </si>
  <si>
    <t>Abshar Aryun Abary</t>
  </si>
  <si>
    <t>CRM Specialist</t>
  </si>
  <si>
    <t>https://www.linkedin.com/in/abshararyun/</t>
  </si>
  <si>
    <t>Prispayana Vidro Amero</t>
  </si>
  <si>
    <t>https://www.linkedin.com/in/prispayana-vidro-amero-227a1790/</t>
  </si>
  <si>
    <t>Data Platform</t>
  </si>
  <si>
    <t>M. Rizqi Andrian</t>
  </si>
  <si>
    <t>https://www.linkedin.com/in/mrizqiandrian/</t>
  </si>
  <si>
    <t>Achirul Akbar</t>
  </si>
  <si>
    <t>https://www.linkedin.com/in/achirul-akbar-54116bb4/</t>
  </si>
  <si>
    <t>Rikhi Ariyanto</t>
  </si>
  <si>
    <t>https://www.linkedin.com/in/areariyanto/</t>
  </si>
  <si>
    <t>Gazza Syahmega</t>
  </si>
  <si>
    <t>https://www.linkedin.com/in/gazza-syahmega/</t>
  </si>
  <si>
    <t>Arini Annisa</t>
  </si>
  <si>
    <t>https://www.linkedin.com/in/arini-annisa-2a758b97/</t>
  </si>
  <si>
    <t>Digital Products, Customer &amp; Experience</t>
  </si>
  <si>
    <t>Bangkit Permana</t>
  </si>
  <si>
    <t>https://www.linkedin.com/in/bangkitpermana/</t>
  </si>
  <si>
    <t>Jimmi Ricardo</t>
  </si>
  <si>
    <t>https://www.linkedin.com/in/jimmi-ricardo-324a4185/</t>
  </si>
  <si>
    <t>Qinan Prayoga</t>
  </si>
  <si>
    <t>User Research</t>
  </si>
  <si>
    <t>https://www.linkedin.com/in/qinanprayoga/</t>
  </si>
  <si>
    <t>Rizqi Akbar</t>
  </si>
  <si>
    <t>https://www.linkedin.com/in/rizqiakbar/</t>
  </si>
  <si>
    <t>Yosia Suherman</t>
  </si>
  <si>
    <t>Security Architect</t>
  </si>
  <si>
    <t>https://www.linkedin.com/in/yosiaz/</t>
  </si>
  <si>
    <t>Taufik</t>
  </si>
  <si>
    <t>Vicky Dwi Kurniawan</t>
  </si>
  <si>
    <t>Backend Platform</t>
  </si>
  <si>
    <t>https://www.linkedin.com/in/vicky-dwi-kurniawan-256b7b45/</t>
  </si>
  <si>
    <t>Rian Eka</t>
  </si>
  <si>
    <t>https://www.linkedin.com/in/rianeka/</t>
  </si>
  <si>
    <t>Henri Wislon T</t>
  </si>
  <si>
    <t>https://www.linkedin.com/in/henri-tompodung-3939b158/</t>
  </si>
  <si>
    <t>Siti Sriwati Sitorus</t>
  </si>
  <si>
    <t>https://www.linkedin.com/in/siti-sriwati-sitorus-006466197/</t>
  </si>
  <si>
    <t>Abdul Rasyid</t>
  </si>
  <si>
    <t>https://www.linkedin.com/in/abdul-rasyid-97004886/</t>
  </si>
  <si>
    <t>Nabil</t>
  </si>
  <si>
    <t>https://www.linkedin.com/in/baadillahnabil/</t>
  </si>
  <si>
    <t>Arini Octavina</t>
  </si>
  <si>
    <t>Test Engineer</t>
  </si>
  <si>
    <t>https://www.linkedin.com/in/arinioctavina/</t>
  </si>
  <si>
    <t>Ririn Zulandra</t>
  </si>
  <si>
    <t>https://www.linkedin.com/in/ririn-zulandra-4a7a52ba/</t>
  </si>
  <si>
    <t>Rohani Napitupulu</t>
  </si>
  <si>
    <t>https://www.linkedin.com/in/rohani-napitupulu-150596/</t>
  </si>
  <si>
    <t>Dwi Septha Kurniawan</t>
  </si>
  <si>
    <t>Backend Magento</t>
  </si>
  <si>
    <t>https://www.linkedin.com/in/dwi-septha-kurniawan-330106178/</t>
  </si>
  <si>
    <t>Muhammad Rifai</t>
  </si>
  <si>
    <t>https://www.linkedin.com/in/muhammad-rifai-32a768151/</t>
  </si>
  <si>
    <t>Rio Permana</t>
  </si>
  <si>
    <t>Mobile Developer</t>
  </si>
  <si>
    <t>https://www.linkedin.com/in/riopermana/</t>
  </si>
  <si>
    <t>M. Ragil</t>
  </si>
  <si>
    <t>IT Infrastructure Operations</t>
  </si>
  <si>
    <t>Jumiaty Oclivinda</t>
  </si>
  <si>
    <t>Executive Assistant</t>
  </si>
  <si>
    <t>https://www.linkedin.com/in/jumiaty-oclivinda-144338103/</t>
  </si>
  <si>
    <t>CEO Office</t>
  </si>
  <si>
    <t>Henny R. Poniman</t>
  </si>
  <si>
    <t>Executive Assistant, L&amp;D Coordinator</t>
  </si>
  <si>
    <t>https://www.linkedin.com/in/henny-poniman-b0293a5/</t>
  </si>
  <si>
    <t>Yessy Caline</t>
  </si>
  <si>
    <t>https://www.linkedin.com/in/yessy-caline-2b523152/</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</si>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</sst>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m/d/yyyy"/>
    <numFmt numFmtId="166" formatCode="d\ mmmm"/>
    <numFmt numFmtId="167" formatCode="d\-mmmm\-yy"/>
    <numFmt numFmtId="168" formatCode="dd\ mmm\ yyyy"/>
    <numFmt numFmtId="169" formatCode="d\ mmmm\ yyyy"/>
  </numFmts>
  <fonts count="132">
    <font>
      <sz val="10"/>
      <color rgb="FF000000"/>
      <name val="Arial"/>
    </font>
    <font>
      <b/>
      <sz val="10"/>
      <color theme="1"/>
      <name val="Arial"/>
    </font>
    <font>
      <sz val="10"/>
      <color theme="1"/>
      <name val="Merriweather"/>
    </font>
    <font>
      <b/>
      <u/>
      <sz val="14"/>
      <color rgb="FF0000FF"/>
      <name val="Merriweather"/>
    </font>
    <font>
      <b/>
      <sz val="10"/>
      <color theme="1"/>
      <name val="Arial"/>
    </font>
    <font>
      <b/>
      <sz val="10"/>
      <color theme="1"/>
      <name val="Merriweather"/>
    </font>
    <font>
      <b/>
      <sz val="10"/>
      <color theme="1"/>
      <name val="Source Sans Pro"/>
    </font>
    <font>
      <u/>
      <sz val="10"/>
      <color rgb="FF0000FF"/>
      <name val="Merriweather"/>
    </font>
    <font>
      <sz val="10"/>
      <color theme="1"/>
      <name val="Arial"/>
    </font>
    <font>
      <sz val="10"/>
      <color theme="1"/>
      <name val="Arial"/>
    </font>
    <font>
      <u/>
      <sz val="10"/>
      <color rgb="FF0000FF"/>
      <name val="Arial"/>
    </font>
    <font>
      <b/>
      <u/>
      <sz val="10"/>
      <color rgb="FF0000FF"/>
      <name val="Merriweather"/>
    </font>
    <font>
      <u/>
      <sz val="10"/>
      <color rgb="FF0000FF"/>
      <name val="Arial"/>
    </font>
    <font>
      <b/>
      <u/>
      <sz val="10"/>
      <color rgb="FF0000FF"/>
      <name val="Merriweather"/>
    </font>
    <font>
      <b/>
      <u/>
      <sz val="10"/>
      <color rgb="FF0000FF"/>
      <name val="Merriweather"/>
    </font>
    <font>
      <u/>
      <sz val="10"/>
      <color rgb="FF0000FF"/>
      <name val="Arial"/>
    </font>
    <font>
      <sz val="10"/>
      <color theme="1"/>
      <name val="Source Sans Pro"/>
    </font>
    <font>
      <u/>
      <sz val="10"/>
      <color rgb="FF0000FF"/>
      <name val="Merriweather"/>
    </font>
    <font>
      <u/>
      <sz val="10"/>
      <color rgb="FF0000FF"/>
      <name val="Arial"/>
    </font>
    <font>
      <b/>
      <u/>
      <sz val="10"/>
      <color rgb="FF0000FF"/>
      <name val="Source Sans Pro"/>
    </font>
    <font>
      <u/>
      <sz val="10"/>
      <color rgb="FF0000FF"/>
      <name val="Arial"/>
    </font>
    <font>
      <u/>
      <sz val="10"/>
      <color rgb="FF3A6D99"/>
      <name val="Arial"/>
    </font>
    <font>
      <u/>
      <sz val="10"/>
      <color rgb="FF1155CC"/>
      <name val="Arial"/>
    </font>
    <font>
      <u/>
      <sz val="10"/>
      <color rgb="FF665ED0"/>
      <name val="Arial"/>
    </font>
    <font>
      <u/>
      <sz val="10"/>
      <color rgb="FF0000FF"/>
      <name val="Arial"/>
    </font>
    <font>
      <u/>
      <sz val="10"/>
      <color rgb="FF0000FF"/>
      <name val="Arial"/>
    </font>
    <font>
      <sz val="10"/>
      <color rgb="FF000000"/>
      <name val="Arial"/>
    </font>
    <font>
      <b/>
      <sz val="10"/>
      <color rgb="FF272525"/>
      <name val="Arial"/>
    </font>
    <font>
      <b/>
      <sz val="10"/>
      <color rgb="FF222222"/>
      <name val="Arial"/>
    </font>
    <font>
      <sz val="10"/>
      <color rgb="FF222222"/>
      <name val="Arial"/>
    </font>
    <font>
      <sz val="10"/>
      <color rgb="FF515357"/>
      <name val="Arial"/>
    </font>
    <font>
      <u/>
      <sz val="10"/>
      <color rgb="FF0000FF"/>
      <name val="Arial"/>
    </font>
    <font>
      <b/>
      <sz val="10"/>
      <color rgb="FF1D1C1D"/>
      <name val="Arial"/>
    </font>
    <font>
      <u/>
      <sz val="10"/>
      <color rgb="FF0000FF"/>
      <name val="Arial"/>
    </font>
    <font>
      <u/>
      <sz val="10"/>
      <color rgb="FF0000FF"/>
      <name val="Arial"/>
    </font>
    <font>
      <u/>
      <sz val="10"/>
      <color rgb="FF1155CC"/>
      <name val="Arial"/>
    </font>
    <font>
      <u/>
      <sz val="10"/>
      <color rgb="FF000000"/>
      <name val="Arial"/>
    </font>
    <font>
      <b/>
      <sz val="10"/>
      <color rgb="FF000000"/>
      <name val="Arial"/>
    </font>
    <font>
      <u/>
      <sz val="10"/>
      <color rgb="FF0000FF"/>
      <name val="Arial"/>
    </font>
    <font>
      <sz val="11"/>
      <color theme="1"/>
      <name val="Arial"/>
    </font>
    <font>
      <b/>
      <u/>
      <sz val="10"/>
      <color rgb="FF0000FF"/>
      <name val="Arial"/>
    </font>
    <font>
      <u/>
      <sz val="10"/>
      <color rgb="FF0000FF"/>
      <name val="Arial"/>
    </font>
    <font>
      <u/>
      <sz val="10"/>
      <color rgb="FF0000FF"/>
      <name val="Arial"/>
    </font>
    <font>
      <sz val="10"/>
      <color rgb="FF000000"/>
      <name val="Roboto"/>
    </font>
    <font>
      <sz val="11"/>
      <color rgb="FF333333"/>
      <name val="Arial"/>
    </font>
    <font>
      <b/>
      <sz val="11"/>
      <color rgb="FF000000"/>
      <name val="Calibri"/>
    </font>
    <font>
      <sz val="11"/>
      <color rgb="FF000000"/>
      <name val="Calibri"/>
    </font>
    <font>
      <sz val="11"/>
      <color rgb="FF000000"/>
      <name val="Arial"/>
    </font>
    <font>
      <u/>
      <sz val="10"/>
      <color rgb="FF0000FF"/>
      <name val="Arial"/>
    </font>
    <font>
      <u/>
      <sz val="10"/>
      <color rgb="FF0000FF"/>
      <name val="Arial"/>
    </font>
    <font>
      <u/>
      <sz val="10"/>
      <color rgb="FF0000FF"/>
      <name val="Arial"/>
    </font>
    <font>
      <b/>
      <sz val="10"/>
      <color rgb="FF000000"/>
      <name val="Arial"/>
    </font>
    <font>
      <sz val="10"/>
      <color rgb="FF333333"/>
      <name val="Arial"/>
    </font>
    <font>
      <u/>
      <sz val="10"/>
      <color rgb="FF007DD6"/>
      <name val="Arial"/>
    </font>
    <font>
      <b/>
      <sz val="11"/>
      <color rgb="FF000000"/>
      <name val="Arial"/>
    </font>
    <font>
      <u/>
      <sz val="11"/>
      <color rgb="FF000000"/>
      <name val="Calibri"/>
    </font>
    <font>
      <u/>
      <sz val="11"/>
      <color rgb="FF0563C1"/>
      <name val="Calibri"/>
    </font>
    <font>
      <u/>
      <sz val="11"/>
      <color rgb="FF0563C1"/>
      <name val="Calibri"/>
    </font>
    <font>
      <sz val="10"/>
      <color rgb="FF000000"/>
      <name val="Arial"/>
    </font>
    <font>
      <u/>
      <sz val="10"/>
      <color rgb="FF0000FF"/>
      <name val="Arial"/>
    </font>
    <font>
      <u/>
      <sz val="11"/>
      <color rgb="FF0563C1"/>
      <name val="Calibri"/>
    </font>
    <font>
      <u/>
      <sz val="10"/>
      <color rgb="FF0000FF"/>
      <name val="Arial"/>
    </font>
    <font>
      <u/>
      <sz val="11"/>
      <color rgb="FF0000FF"/>
      <name val="Calibri"/>
    </font>
    <font>
      <sz val="12"/>
      <color rgb="FF000000"/>
      <name val="Roboto"/>
    </font>
    <font>
      <sz val="11"/>
      <color rgb="FF323640"/>
      <name val="Arial"/>
    </font>
    <font>
      <u/>
      <sz val="10"/>
      <color rgb="FF0000FF"/>
      <name val="Arial"/>
    </font>
    <font>
      <u/>
      <sz val="10"/>
      <color rgb="FF0000FF"/>
      <name val="Arial"/>
    </font>
    <font>
      <u/>
      <sz val="10"/>
      <color rgb="FF007DD6"/>
      <name val="Arial"/>
    </font>
    <font>
      <u/>
      <sz val="10"/>
      <color rgb="FF007DD6"/>
      <name val="Arial"/>
    </font>
    <font>
      <u/>
      <sz val="10"/>
      <color rgb="FF222222"/>
      <name val="Arial"/>
    </font>
    <font>
      <sz val="11"/>
      <color theme="1"/>
      <name val="Calibri"/>
    </font>
    <font>
      <u/>
      <sz val="11"/>
      <color rgb="FF0563C1"/>
      <name val="Calibri"/>
    </font>
    <font>
      <u/>
      <sz val="11"/>
      <color rgb="FF0563C1"/>
      <name val="Calibri"/>
    </font>
    <font>
      <u/>
      <sz val="10"/>
      <color theme="1"/>
      <name val="Arial"/>
    </font>
    <font>
      <u/>
      <sz val="10"/>
      <color rgb="FF1155CC"/>
      <name val="Arial"/>
    </font>
    <font>
      <sz val="10"/>
      <color rgb="FF000000"/>
      <name val="-apple-system"/>
    </font>
    <font>
      <u/>
      <sz val="10"/>
      <color rgb="FF0433FF"/>
      <name val="Arial"/>
    </font>
    <font>
      <u/>
      <sz val="11"/>
      <color rgb="FF0563C1"/>
      <name val="Calibri"/>
    </font>
    <font>
      <u/>
      <sz val="11"/>
      <color rgb="FF0563C1"/>
      <name val="Calibri"/>
    </font>
    <font>
      <u/>
      <sz val="11"/>
      <color rgb="FF0563C1"/>
      <name val="Calibri"/>
    </font>
    <font>
      <u/>
      <sz val="11"/>
      <color rgb="FF000000"/>
      <name val="Calibri"/>
    </font>
    <font>
      <u/>
      <sz val="11"/>
      <color rgb="FF0563C1"/>
      <name val="Calibri"/>
    </font>
    <font>
      <u/>
      <sz val="11"/>
      <color rgb="FF000000"/>
      <name val="Arial"/>
    </font>
    <font>
      <sz val="10"/>
      <color theme="1"/>
      <name val="Calibri"/>
    </font>
    <font>
      <u/>
      <sz val="10"/>
      <color rgb="FF0000FF"/>
      <name val="Calibri"/>
    </font>
    <font>
      <u/>
      <sz val="11"/>
      <color rgb="FF0563C1"/>
      <name val="Calibri"/>
    </font>
    <font>
      <u/>
      <sz val="10"/>
      <color rgb="FF0433FF"/>
      <name val="Arial"/>
    </font>
    <font>
      <u/>
      <sz val="10"/>
      <color rgb="FF0433FF"/>
      <name val="Arial"/>
    </font>
    <font>
      <u/>
      <sz val="10"/>
      <color rgb="FF1155CC"/>
      <name val="Arial"/>
    </font>
    <font>
      <u/>
      <sz val="10"/>
      <color rgb="FF0000FF"/>
      <name val="Arial"/>
    </font>
    <font>
      <u/>
      <sz val="10"/>
      <color rgb="FF0000FF"/>
      <name val="Arial"/>
    </font>
    <font>
      <u/>
      <sz val="11"/>
      <color rgb="FF0563C1"/>
      <name val="Calibri"/>
    </font>
    <font>
      <u/>
      <sz val="11"/>
      <color rgb="FF000000"/>
      <name val="Calibri"/>
    </font>
    <font>
      <u/>
      <sz val="10"/>
      <color rgb="FF0433FF"/>
      <name val="Arial"/>
    </font>
    <font>
      <u/>
      <sz val="10"/>
      <color rgb="FF0000FF"/>
      <name val="Arial"/>
    </font>
    <font>
      <u/>
      <sz val="11"/>
      <color rgb="FF000000"/>
      <name val="Calibri"/>
    </font>
    <font>
      <u/>
      <sz val="11"/>
      <color rgb="FF0563C1"/>
      <name val="Calibri"/>
    </font>
    <font>
      <u/>
      <sz val="11"/>
      <color rgb="FF0563C1"/>
      <name val="Calibri"/>
    </font>
    <font>
      <u/>
      <sz val="10"/>
      <color rgb="FF0563C1"/>
      <name val="Arial"/>
    </font>
    <font>
      <u/>
      <sz val="10"/>
      <color rgb="FF0000FF"/>
      <name val="Arial"/>
    </font>
    <font>
      <u/>
      <sz val="10"/>
      <color rgb="FF1155CC"/>
      <name val="Arial"/>
    </font>
    <font>
      <b/>
      <sz val="11"/>
      <color rgb="FF31373C"/>
      <name val="System-ui"/>
    </font>
    <font>
      <u/>
      <sz val="10"/>
      <color rgb="FF007DD6"/>
      <name val="Arial"/>
    </font>
    <font>
      <u/>
      <sz val="10"/>
      <color rgb="FF007DD6"/>
      <name val="Arial"/>
    </font>
    <font>
      <u/>
      <sz val="10"/>
      <color rgb="FF0433FF"/>
      <name val="Arial"/>
    </font>
    <font>
      <u/>
      <sz val="10"/>
      <color rgb="FF0433FF"/>
      <name val="Arial"/>
    </font>
    <font>
      <u/>
      <sz val="10"/>
      <color rgb="FF1155CC"/>
      <name val="Arial"/>
    </font>
    <font>
      <u/>
      <sz val="10"/>
      <color rgb="FF0563C1"/>
      <name val="Arial"/>
    </font>
    <font>
      <u/>
      <sz val="10"/>
      <color rgb="FF0563C1"/>
      <name val="Arial"/>
    </font>
    <font>
      <sz val="10"/>
      <color rgb="FF231815"/>
      <name val="Arial"/>
    </font>
    <font>
      <u/>
      <sz val="10"/>
      <color rgb="FF1155CC"/>
      <name val="Arial"/>
    </font>
    <font>
      <u/>
      <sz val="11"/>
      <color rgb="FF0563C1"/>
      <name val="Calibri"/>
    </font>
    <font>
      <u/>
      <sz val="10"/>
      <color rgb="FF0000FF"/>
      <name val="Arial"/>
    </font>
    <font>
      <u/>
      <sz val="10"/>
      <color theme="1"/>
      <name val="Arial"/>
    </font>
    <font>
      <sz val="12"/>
      <color rgb="FF000000"/>
      <name val="Calibri"/>
    </font>
    <font>
      <u/>
      <sz val="12"/>
      <color rgb="FF0563C1"/>
      <name val="Calibri"/>
    </font>
    <font>
      <u/>
      <sz val="11"/>
      <color rgb="FF0563C1"/>
      <name val="Calibri"/>
    </font>
    <font>
      <u/>
      <sz val="10"/>
      <color rgb="FF0000FF"/>
      <name val="Arial"/>
    </font>
    <font>
      <u/>
      <sz val="10"/>
      <color rgb="FF1155CC"/>
      <name val="Arial"/>
    </font>
    <font>
      <sz val="9"/>
      <color rgb="FF000000"/>
      <name val="Calibri"/>
    </font>
    <font>
      <u/>
      <sz val="9"/>
      <color rgb="FF0B4CB4"/>
      <name val="Calibri"/>
    </font>
    <font>
      <u/>
      <sz val="10"/>
      <color rgb="FF0000FF"/>
      <name val="Arial"/>
    </font>
    <font>
      <u/>
      <sz val="11"/>
      <color rgb="FF0000FF"/>
      <name val="Docs--apple-system"/>
    </font>
    <font>
      <u/>
      <sz val="10"/>
      <color rgb="FF0000FF"/>
      <name val="Docs--webkit-standard"/>
    </font>
    <font>
      <u/>
      <sz val="10"/>
      <color rgb="FF1155CC"/>
      <name val="Arial"/>
    </font>
    <font>
      <sz val="10"/>
      <color rgb="FF222222"/>
      <name val="Arial"/>
    </font>
    <font>
      <u/>
      <sz val="10"/>
      <color rgb="FF1155CC"/>
      <name val="Arial"/>
    </font>
    <font>
      <u/>
      <sz val="10"/>
      <color rgb="FF0000FF"/>
      <name val="Arial"/>
    </font>
    <font>
      <b/>
      <sz val="10"/>
      <name val="Arial"/>
    </font>
    <font>
      <i/>
      <sz val="10"/>
      <name val="Arial"/>
    </font>
    <font>
      <b/>
      <i/>
      <sz val="10"/>
      <name val="Arial"/>
    </font>
    <font>
      <sz val="10"/>
      <name val="Arial"/>
    </font>
  </fonts>
  <fills count="7">
    <fill>
      <patternFill patternType="none"/>
    </fill>
    <fill>
      <patternFill patternType="gray125"/>
    </fill>
    <fill>
      <patternFill patternType="solid">
        <fgColor rgb="FFFFD966"/>
        <bgColor rgb="FFFFD966"/>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8F8F8"/>
        <bgColor rgb="FFF8F8F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CBCBCB"/>
      </left>
      <right style="thin">
        <color rgb="FFCBCBCB"/>
      </right>
      <top style="thin">
        <color rgb="FFCBCBCB"/>
      </top>
      <bottom style="thin">
        <color rgb="FFCBCBCB"/>
      </bottom>
      <diagonal/>
    </border>
    <border>
      <left style="thin">
        <color rgb="FF9A9A9A"/>
      </left>
      <right style="thin">
        <color rgb="FF9A9A9A"/>
      </right>
      <top style="thin">
        <color rgb="FF9A9A9A"/>
      </top>
      <bottom style="thin">
        <color rgb="FF9A9A9A"/>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44">
    <xf numFmtId="0" fontId="0" fillId="0" borderId="0" xfId="0" applyFont="1" applyAlignment="1"/>
    <xf numFmtId="0" fontId="1" fillId="0" borderId="0" xfId="0" applyFont="1" applyAlignment="1">
      <alignment vertical="top"/>
    </xf>
    <xf numFmtId="0" fontId="2" fillId="2" borderId="0" xfId="0" applyFont="1" applyFill="1" applyAlignment="1">
      <alignment horizontal="center" vertical="top" wrapText="1"/>
    </xf>
    <xf numFmtId="0" fontId="3" fillId="0" borderId="0" xfId="0" applyFont="1" applyAlignment="1"/>
    <xf numFmtId="0" fontId="1" fillId="3" borderId="0" xfId="0" applyFont="1" applyFill="1" applyAlignment="1">
      <alignment horizontal="center" vertical="top" wrapText="1"/>
    </xf>
    <xf numFmtId="0" fontId="4" fillId="0" borderId="0" xfId="0" applyFont="1" applyAlignment="1">
      <alignment horizontal="right"/>
    </xf>
    <xf numFmtId="0" fontId="1" fillId="0" borderId="0" xfId="0" applyFont="1" applyAlignment="1">
      <alignment vertical="top"/>
    </xf>
    <xf numFmtId="0" fontId="5" fillId="0" borderId="0" xfId="0" applyFont="1" applyAlignment="1">
      <alignment horizontal="center"/>
    </xf>
    <xf numFmtId="0" fontId="4" fillId="0" borderId="0" xfId="0" applyFont="1" applyAlignment="1">
      <alignment horizontal="left"/>
    </xf>
    <xf numFmtId="0" fontId="1" fillId="0" borderId="0" xfId="0" applyFont="1" applyAlignment="1">
      <alignment horizontal="center" vertical="top"/>
    </xf>
    <xf numFmtId="0" fontId="6" fillId="0" borderId="0" xfId="0" applyFont="1" applyAlignment="1"/>
    <xf numFmtId="0" fontId="1" fillId="0" borderId="0" xfId="0" applyFont="1" applyAlignment="1">
      <alignment vertical="top"/>
    </xf>
    <xf numFmtId="0" fontId="4" fillId="0" borderId="0" xfId="0" applyFont="1"/>
    <xf numFmtId="0" fontId="4" fillId="0" borderId="0" xfId="0" applyFont="1" applyAlignment="1">
      <alignment horizontal="left"/>
    </xf>
    <xf numFmtId="0" fontId="7" fillId="2" borderId="0" xfId="0" applyFont="1" applyFill="1" applyAlignment="1">
      <alignment horizontal="center" vertical="top" wrapText="1"/>
    </xf>
    <xf numFmtId="0" fontId="4" fillId="0" borderId="0" xfId="0" applyFont="1" applyAlignment="1"/>
    <xf numFmtId="0" fontId="8" fillId="0" borderId="0" xfId="0" applyFont="1" applyAlignment="1"/>
    <xf numFmtId="0" fontId="2" fillId="0" borderId="0" xfId="0" applyFont="1"/>
    <xf numFmtId="0" fontId="4" fillId="0" borderId="0" xfId="0" applyFont="1" applyAlignment="1">
      <alignment horizontal="center" vertical="center" wrapText="1"/>
    </xf>
    <xf numFmtId="0" fontId="4" fillId="4" borderId="0" xfId="0" applyFont="1" applyFill="1" applyAlignment="1">
      <alignment horizontal="center" vertical="center" wrapText="1"/>
    </xf>
    <xf numFmtId="0" fontId="5" fillId="0" borderId="0" xfId="0" applyFont="1" applyAlignment="1">
      <alignment wrapText="1"/>
    </xf>
    <xf numFmtId="0" fontId="4" fillId="4" borderId="0" xfId="0" applyFont="1" applyFill="1" applyAlignment="1">
      <alignment horizontal="center" vertical="center"/>
    </xf>
    <xf numFmtId="0" fontId="4" fillId="4" borderId="0" xfId="0" applyFont="1" applyFill="1" applyAlignment="1">
      <alignment horizontal="center" vertical="center" wrapText="1"/>
    </xf>
    <xf numFmtId="0" fontId="9" fillId="0" borderId="0" xfId="0" applyFont="1" applyAlignment="1">
      <alignment vertical="top"/>
    </xf>
    <xf numFmtId="0" fontId="4" fillId="0" borderId="0" xfId="0" applyFont="1" applyAlignment="1">
      <alignment horizontal="center" vertical="center" wrapText="1"/>
    </xf>
    <xf numFmtId="0" fontId="9" fillId="0" borderId="0" xfId="0" applyFont="1" applyAlignment="1">
      <alignment vertical="top" wrapText="1"/>
    </xf>
    <xf numFmtId="164" fontId="8" fillId="0" borderId="0" xfId="0" applyNumberFormat="1" applyFont="1" applyAlignment="1">
      <alignment horizontal="left"/>
    </xf>
    <xf numFmtId="0" fontId="5" fillId="0" borderId="0" xfId="0" applyFont="1" applyAlignment="1">
      <alignment horizontal="center"/>
    </xf>
    <xf numFmtId="0" fontId="1" fillId="0" borderId="0" xfId="0" applyFont="1" applyAlignment="1">
      <alignment horizontal="center" vertical="top"/>
    </xf>
    <xf numFmtId="0" fontId="10" fillId="0" borderId="0" xfId="0" applyFont="1" applyAlignment="1">
      <alignment horizontal="left"/>
    </xf>
    <xf numFmtId="0" fontId="9" fillId="0" borderId="0" xfId="0" applyFont="1" applyAlignment="1">
      <alignment vertical="top"/>
    </xf>
    <xf numFmtId="0" fontId="8" fillId="0" borderId="0" xfId="0" applyFont="1" applyAlignment="1">
      <alignment horizontal="left"/>
    </xf>
    <xf numFmtId="0" fontId="11" fillId="0" borderId="0" xfId="0" applyFont="1" applyAlignment="1">
      <alignment wrapText="1"/>
    </xf>
    <xf numFmtId="164" fontId="8" fillId="0" borderId="0" xfId="0" applyNumberFormat="1" applyFont="1" applyAlignment="1"/>
    <xf numFmtId="0" fontId="9" fillId="0" borderId="0" xfId="0" applyFont="1" applyAlignment="1">
      <alignment vertical="top"/>
    </xf>
    <xf numFmtId="0" fontId="8" fillId="0" borderId="0" xfId="0" applyFont="1" applyAlignment="1"/>
    <xf numFmtId="0" fontId="9" fillId="0" borderId="0" xfId="0" applyFont="1" applyAlignment="1">
      <alignment vertical="top"/>
    </xf>
    <xf numFmtId="0" fontId="5" fillId="0" borderId="0" xfId="0" applyFont="1" applyAlignment="1"/>
    <xf numFmtId="0" fontId="12" fillId="0" borderId="0" xfId="0" applyFont="1" applyAlignment="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3" fillId="0" borderId="0" xfId="0" applyFont="1"/>
    <xf numFmtId="0" fontId="8" fillId="0" borderId="0" xfId="0" applyFont="1" applyAlignment="1">
      <alignment horizontal="center" vertical="center"/>
    </xf>
    <xf numFmtId="0" fontId="5" fillId="0" borderId="0" xfId="0" applyFont="1"/>
    <xf numFmtId="0" fontId="8" fillId="0" borderId="0" xfId="0" applyFont="1" applyAlignment="1"/>
    <xf numFmtId="0" fontId="1" fillId="0" borderId="0" xfId="0" applyFont="1" applyAlignment="1">
      <alignment vertical="top" wrapText="1"/>
    </xf>
    <xf numFmtId="0" fontId="9" fillId="0" borderId="0" xfId="0" applyFont="1" applyAlignment="1">
      <alignment vertical="top" wrapText="1"/>
    </xf>
    <xf numFmtId="0" fontId="0" fillId="5" borderId="0" xfId="0" applyFont="1" applyFill="1" applyAlignment="1"/>
    <xf numFmtId="0" fontId="14" fillId="0" borderId="0" xfId="0" applyFont="1" applyAlignment="1"/>
    <xf numFmtId="0" fontId="8" fillId="0" borderId="0" xfId="0" applyFont="1"/>
    <xf numFmtId="0" fontId="15" fillId="0" borderId="0" xfId="0" applyFont="1" applyAlignment="1">
      <alignment vertical="top"/>
    </xf>
    <xf numFmtId="0" fontId="8" fillId="0" borderId="0" xfId="0" applyFont="1" applyAlignment="1">
      <alignment vertical="center" wrapText="1"/>
    </xf>
    <xf numFmtId="0" fontId="8" fillId="0" borderId="0" xfId="0" applyFont="1" applyAlignment="1">
      <alignment vertical="center" wrapText="1"/>
    </xf>
    <xf numFmtId="0" fontId="16" fillId="0" borderId="0" xfId="0" applyFont="1" applyAlignment="1">
      <alignment wrapText="1"/>
    </xf>
    <xf numFmtId="0" fontId="16" fillId="0" borderId="0" xfId="0" applyFont="1" applyAlignment="1">
      <alignment vertical="center" wrapText="1"/>
    </xf>
    <xf numFmtId="0" fontId="17" fillId="0" borderId="0" xfId="0" applyFont="1"/>
    <xf numFmtId="0" fontId="18" fillId="0" borderId="0" xfId="0" applyFont="1"/>
    <xf numFmtId="0" fontId="16" fillId="0" borderId="0" xfId="0" applyFont="1" applyAlignment="1">
      <alignment wrapText="1"/>
    </xf>
    <xf numFmtId="0" fontId="2" fillId="0" borderId="0" xfId="0" applyFont="1" applyAlignment="1">
      <alignment wrapText="1"/>
    </xf>
    <xf numFmtId="0" fontId="20" fillId="0" borderId="0" xfId="0" applyFont="1" applyAlignment="1">
      <alignment vertical="top" wrapText="1"/>
    </xf>
    <xf numFmtId="0" fontId="8" fillId="0" borderId="0" xfId="0" applyFont="1" applyAlignment="1">
      <alignment wrapText="1"/>
    </xf>
    <xf numFmtId="0" fontId="8" fillId="0" borderId="0" xfId="0" applyFont="1" applyAlignment="1">
      <alignment wrapText="1"/>
    </xf>
    <xf numFmtId="0" fontId="16" fillId="0" borderId="0" xfId="0" applyFont="1" applyAlignment="1"/>
    <xf numFmtId="0" fontId="21" fillId="0" borderId="0" xfId="0" applyFont="1" applyAlignment="1">
      <alignment vertical="top"/>
    </xf>
    <xf numFmtId="0" fontId="6" fillId="0" borderId="0" xfId="0" applyFont="1" applyAlignment="1">
      <alignment wrapText="1"/>
    </xf>
    <xf numFmtId="0" fontId="0" fillId="0" borderId="0" xfId="0" applyFont="1" applyAlignment="1">
      <alignment vertical="top" wrapText="1"/>
    </xf>
    <xf numFmtId="0" fontId="1" fillId="0" borderId="0" xfId="0" applyFont="1" applyAlignment="1">
      <alignment vertical="top" wrapText="1"/>
    </xf>
    <xf numFmtId="0" fontId="22" fillId="0" borderId="0" xfId="0" applyFont="1" applyAlignment="1">
      <alignment vertical="top" wrapText="1"/>
    </xf>
    <xf numFmtId="0" fontId="23" fillId="5" borderId="0" xfId="0" applyFont="1" applyFill="1" applyAlignment="1">
      <alignment vertical="top"/>
    </xf>
    <xf numFmtId="0" fontId="8" fillId="0" borderId="0" xfId="0" applyFont="1" applyAlignment="1">
      <alignment vertical="center"/>
    </xf>
    <xf numFmtId="0" fontId="8" fillId="0" borderId="0" xfId="0" applyFont="1" applyAlignment="1">
      <alignment vertical="center"/>
    </xf>
    <xf numFmtId="0" fontId="24" fillId="5" borderId="0" xfId="0" applyFont="1" applyFill="1" applyAlignment="1">
      <alignment vertical="top"/>
    </xf>
    <xf numFmtId="0" fontId="8" fillId="0" borderId="0" xfId="0" applyFont="1" applyAlignment="1">
      <alignment vertical="top" wrapText="1"/>
    </xf>
    <xf numFmtId="0" fontId="0" fillId="5" borderId="0" xfId="0" applyFont="1" applyFill="1" applyAlignment="1">
      <alignment vertical="top" wrapText="1"/>
    </xf>
    <xf numFmtId="0" fontId="25" fillId="0" borderId="0" xfId="0" applyFont="1" applyAlignment="1">
      <alignment vertical="top" wrapText="1"/>
    </xf>
    <xf numFmtId="0" fontId="26" fillId="0" borderId="0" xfId="0" applyFont="1" applyAlignment="1">
      <alignment horizontal="left"/>
    </xf>
    <xf numFmtId="0" fontId="0"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xf>
    <xf numFmtId="0" fontId="27" fillId="5" borderId="0" xfId="0" applyFont="1" applyFill="1" applyAlignment="1">
      <alignment vertical="top" wrapText="1"/>
    </xf>
    <xf numFmtId="0" fontId="0" fillId="5" borderId="0" xfId="0" applyFont="1" applyFill="1" applyAlignment="1">
      <alignment vertical="top" wrapText="1"/>
    </xf>
    <xf numFmtId="0" fontId="0" fillId="5" borderId="0" xfId="0" applyFont="1" applyFill="1" applyAlignment="1">
      <alignment vertical="top" wrapText="1"/>
    </xf>
    <xf numFmtId="0" fontId="0" fillId="0" borderId="0" xfId="0" applyFont="1" applyAlignment="1">
      <alignment vertical="top" wrapText="1"/>
    </xf>
    <xf numFmtId="0" fontId="28" fillId="5" borderId="0" xfId="0" applyFont="1" applyFill="1" applyAlignment="1">
      <alignment horizontal="left" vertical="top" wrapText="1"/>
    </xf>
    <xf numFmtId="0" fontId="29" fillId="5" borderId="0" xfId="0" applyFont="1" applyFill="1" applyAlignment="1">
      <alignment horizontal="left" vertical="top" wrapText="1"/>
    </xf>
    <xf numFmtId="0" fontId="30" fillId="0" borderId="0" xfId="0" applyFont="1" applyAlignment="1">
      <alignment horizontal="center" vertical="top" wrapText="1"/>
    </xf>
    <xf numFmtId="0" fontId="31" fillId="0" borderId="0" xfId="0" applyFont="1" applyAlignment="1">
      <alignment horizontal="left" vertical="top" wrapText="1"/>
    </xf>
    <xf numFmtId="0" fontId="9" fillId="0" borderId="0" xfId="0" applyFont="1" applyAlignment="1">
      <alignment horizontal="center" vertical="top" wrapText="1"/>
    </xf>
    <xf numFmtId="0" fontId="9" fillId="0" borderId="0" xfId="0" applyFont="1" applyAlignment="1">
      <alignment horizontal="left" vertical="top"/>
    </xf>
    <xf numFmtId="0" fontId="8" fillId="0" borderId="0" xfId="0" applyFont="1" applyAlignment="1">
      <alignment horizontal="left" vertical="center" wrapText="1"/>
    </xf>
    <xf numFmtId="0" fontId="8" fillId="0" borderId="0" xfId="0" applyFont="1" applyAlignment="1">
      <alignment horizontal="left" vertical="center" wrapText="1"/>
    </xf>
    <xf numFmtId="0" fontId="29" fillId="5" borderId="0" xfId="0" applyFont="1" applyFill="1" applyAlignment="1">
      <alignment vertical="top" wrapText="1"/>
    </xf>
    <xf numFmtId="0" fontId="28" fillId="5" borderId="0" xfId="0" applyFont="1" applyFill="1" applyAlignment="1">
      <alignmen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alignment horizontal="center" vertical="top"/>
    </xf>
    <xf numFmtId="0" fontId="0" fillId="0" borderId="0" xfId="0" applyFont="1" applyAlignment="1">
      <alignment horizontal="left" vertical="top" wrapText="1"/>
    </xf>
    <xf numFmtId="0" fontId="32" fillId="6" borderId="0" xfId="0" applyFont="1" applyFill="1" applyAlignment="1">
      <alignment horizontal="left" vertical="top" wrapText="1"/>
    </xf>
    <xf numFmtId="0" fontId="9" fillId="0" borderId="0" xfId="0" quotePrefix="1" applyFont="1" applyAlignment="1">
      <alignment vertical="top" wrapText="1"/>
    </xf>
    <xf numFmtId="0" fontId="1" fillId="3" borderId="0" xfId="0" applyFont="1" applyFill="1" applyAlignment="1">
      <alignment vertical="top" wrapText="1"/>
    </xf>
    <xf numFmtId="0" fontId="9" fillId="3" borderId="0" xfId="0" applyFont="1" applyFill="1" applyAlignment="1">
      <alignment vertical="top" wrapText="1"/>
    </xf>
    <xf numFmtId="0" fontId="33" fillId="3" borderId="0" xfId="0" applyFont="1" applyFill="1" applyAlignment="1">
      <alignment vertical="top" wrapText="1"/>
    </xf>
    <xf numFmtId="0" fontId="34" fillId="3" borderId="0" xfId="0" applyFont="1" applyFill="1" applyAlignment="1">
      <alignment vertical="top"/>
    </xf>
    <xf numFmtId="0" fontId="9" fillId="0" borderId="0" xfId="0" applyFont="1" applyAlignment="1">
      <alignment vertical="top" wrapText="1"/>
    </xf>
    <xf numFmtId="0" fontId="9" fillId="0" borderId="0" xfId="0" applyFont="1" applyAlignment="1">
      <alignment vertical="top" wrapText="1"/>
    </xf>
    <xf numFmtId="0" fontId="35" fillId="0" borderId="0" xfId="0" applyFont="1" applyAlignment="1">
      <alignment vertical="top"/>
    </xf>
    <xf numFmtId="0" fontId="36" fillId="0" borderId="0" xfId="0" applyFont="1" applyAlignment="1">
      <alignment vertical="top"/>
    </xf>
    <xf numFmtId="0" fontId="37" fillId="0" borderId="0" xfId="0" applyFont="1" applyAlignment="1">
      <alignment vertical="top" wrapText="1"/>
    </xf>
    <xf numFmtId="0" fontId="26" fillId="5" borderId="0" xfId="0" applyFont="1" applyFill="1" applyAlignment="1">
      <alignment horizontal="left" vertical="top" wrapText="1"/>
    </xf>
    <xf numFmtId="0" fontId="0" fillId="5" borderId="0" xfId="0" applyFont="1" applyFill="1" applyAlignment="1">
      <alignment horizontal="left" vertical="top" wrapText="1"/>
    </xf>
    <xf numFmtId="0" fontId="0" fillId="0" borderId="0" xfId="0" applyFont="1" applyAlignment="1">
      <alignment vertical="top"/>
    </xf>
    <xf numFmtId="0" fontId="8" fillId="0" borderId="0" xfId="0" applyFont="1" applyAlignment="1">
      <alignment vertical="top"/>
    </xf>
    <xf numFmtId="0" fontId="38" fillId="0" borderId="0" xfId="0" applyFont="1" applyAlignment="1">
      <alignment vertical="top"/>
    </xf>
    <xf numFmtId="0" fontId="4" fillId="0" borderId="0" xfId="0" applyFont="1" applyAlignment="1">
      <alignment vertical="top" wrapText="1"/>
    </xf>
    <xf numFmtId="0" fontId="39"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8"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vertical="top"/>
    </xf>
    <xf numFmtId="0" fontId="40" fillId="0" borderId="0" xfId="0" applyFont="1" applyAlignment="1">
      <alignment vertical="top"/>
    </xf>
    <xf numFmtId="0" fontId="8" fillId="0" borderId="0" xfId="0" applyFont="1" applyAlignment="1">
      <alignment horizontal="center" vertical="top" wrapText="1"/>
    </xf>
    <xf numFmtId="0" fontId="41" fillId="0" borderId="0" xfId="0" applyFont="1" applyAlignment="1">
      <alignment vertical="top"/>
    </xf>
    <xf numFmtId="0" fontId="42" fillId="0" borderId="0" xfId="0" applyFont="1" applyAlignment="1">
      <alignment horizontal="left" vertical="top"/>
    </xf>
    <xf numFmtId="0" fontId="8" fillId="0" borderId="0" xfId="0" applyFont="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vertical="top"/>
    </xf>
    <xf numFmtId="0" fontId="43" fillId="5" borderId="0" xfId="0" applyFont="1" applyFill="1" applyAlignment="1">
      <alignment vertical="top" wrapText="1"/>
    </xf>
    <xf numFmtId="0" fontId="44" fillId="0" borderId="0" xfId="0" applyFont="1" applyAlignment="1">
      <alignment vertical="top" wrapText="1"/>
    </xf>
    <xf numFmtId="0" fontId="43" fillId="5" borderId="0" xfId="0" applyFont="1" applyFill="1" applyAlignment="1">
      <alignment vertical="top"/>
    </xf>
    <xf numFmtId="0" fontId="45" fillId="0" borderId="0" xfId="0" applyFont="1" applyAlignment="1">
      <alignment vertical="top" wrapText="1"/>
    </xf>
    <xf numFmtId="0" fontId="46" fillId="0" borderId="0" xfId="0" applyFont="1" applyAlignment="1">
      <alignment vertical="top" wrapText="1"/>
    </xf>
    <xf numFmtId="0" fontId="26" fillId="0" borderId="0" xfId="0" applyFont="1" applyAlignment="1">
      <alignment vertical="top" wrapText="1"/>
    </xf>
    <xf numFmtId="0" fontId="43" fillId="5" borderId="0" xfId="0" applyFont="1" applyFill="1" applyAlignment="1">
      <alignment vertical="top"/>
    </xf>
    <xf numFmtId="0" fontId="47" fillId="0" borderId="0" xfId="0" applyFont="1" applyAlignment="1">
      <alignment vertical="top" wrapText="1"/>
    </xf>
    <xf numFmtId="0" fontId="48" fillId="0" borderId="0" xfId="0" applyFont="1" applyAlignment="1">
      <alignment vertical="top" wrapText="1"/>
    </xf>
    <xf numFmtId="0" fontId="26" fillId="0" borderId="0" xfId="0" applyFont="1" applyAlignment="1">
      <alignment vertical="top"/>
    </xf>
    <xf numFmtId="0" fontId="49" fillId="0" borderId="0" xfId="0" applyFont="1" applyAlignment="1">
      <alignment vertical="top"/>
    </xf>
    <xf numFmtId="0" fontId="4" fillId="0" borderId="0" xfId="0" applyFont="1" applyAlignment="1">
      <alignment horizontal="center" vertical="top" wrapText="1"/>
    </xf>
    <xf numFmtId="0" fontId="4" fillId="0" borderId="0" xfId="0" applyFont="1" applyAlignment="1">
      <alignment horizontal="center" vertical="top"/>
    </xf>
    <xf numFmtId="0" fontId="0" fillId="5" borderId="0" xfId="0" applyFont="1" applyFill="1" applyAlignment="1">
      <alignment wrapText="1"/>
    </xf>
    <xf numFmtId="0" fontId="4" fillId="0" borderId="0" xfId="0" applyFont="1" applyAlignment="1">
      <alignment vertical="top" wrapText="1"/>
    </xf>
    <xf numFmtId="0" fontId="8" fillId="0" borderId="0" xfId="0" applyFont="1" applyAlignment="1">
      <alignment vertical="top" wrapText="1"/>
    </xf>
    <xf numFmtId="0" fontId="50" fillId="0" borderId="0" xfId="0" applyFont="1" applyAlignment="1">
      <alignment vertical="top"/>
    </xf>
    <xf numFmtId="0" fontId="8" fillId="0" borderId="0" xfId="0" applyFont="1" applyAlignment="1">
      <alignment wrapText="1"/>
    </xf>
    <xf numFmtId="0" fontId="51" fillId="0" borderId="0" xfId="0" applyFont="1" applyAlignment="1">
      <alignment vertical="top" wrapText="1"/>
    </xf>
    <xf numFmtId="0" fontId="8" fillId="0" borderId="0" xfId="0" applyFont="1" applyAlignment="1">
      <alignment wrapText="1"/>
    </xf>
    <xf numFmtId="0" fontId="52" fillId="5" borderId="0" xfId="0" applyFont="1" applyFill="1" applyAlignment="1">
      <alignment vertical="top" wrapText="1"/>
    </xf>
    <xf numFmtId="0" fontId="53" fillId="0" borderId="0" xfId="0" applyFont="1" applyAlignment="1">
      <alignment vertical="top"/>
    </xf>
    <xf numFmtId="0" fontId="54" fillId="0" borderId="0" xfId="0" applyFont="1" applyAlignment="1">
      <alignment horizontal="left" vertical="top" wrapText="1"/>
    </xf>
    <xf numFmtId="0" fontId="47" fillId="0" borderId="0" xfId="0" applyFont="1" applyAlignment="1">
      <alignment horizontal="left" vertical="top" wrapText="1"/>
    </xf>
    <xf numFmtId="0" fontId="46" fillId="0" borderId="0" xfId="0" applyFont="1" applyAlignment="1">
      <alignment horizontal="left" vertical="top" wrapText="1"/>
    </xf>
    <xf numFmtId="0" fontId="55" fillId="0" borderId="0" xfId="0" applyFont="1" applyAlignment="1">
      <alignment horizontal="left" vertical="top" wrapText="1"/>
    </xf>
    <xf numFmtId="0" fontId="56" fillId="0" borderId="0" xfId="0" applyFont="1" applyAlignment="1">
      <alignment horizontal="left" vertical="top"/>
    </xf>
    <xf numFmtId="0" fontId="57" fillId="0" borderId="0" xfId="0" applyFont="1" applyAlignment="1">
      <alignment horizontal="left" vertical="top" wrapText="1"/>
    </xf>
    <xf numFmtId="0" fontId="45" fillId="0" borderId="0" xfId="0" applyFont="1" applyAlignment="1">
      <alignment horizontal="left" vertical="top" wrapText="1"/>
    </xf>
    <xf numFmtId="0" fontId="58" fillId="0" borderId="0" xfId="0" applyFont="1" applyAlignment="1">
      <alignment vertical="top"/>
    </xf>
    <xf numFmtId="0" fontId="8" fillId="0" borderId="0" xfId="0" applyFont="1" applyAlignment="1">
      <alignment vertical="top" wrapText="1"/>
    </xf>
    <xf numFmtId="0" fontId="59" fillId="0" borderId="0" xfId="0" applyFont="1" applyAlignment="1">
      <alignment vertical="top" wrapText="1"/>
    </xf>
    <xf numFmtId="0" fontId="60" fillId="0" borderId="0" xfId="0" applyFont="1" applyAlignment="1">
      <alignment vertical="top"/>
    </xf>
    <xf numFmtId="0" fontId="61" fillId="0" borderId="0" xfId="0" applyFont="1" applyAlignment="1">
      <alignment vertical="top"/>
    </xf>
    <xf numFmtId="0" fontId="26" fillId="0" borderId="0" xfId="0" applyFont="1" applyAlignment="1">
      <alignment vertical="top" wrapText="1"/>
    </xf>
    <xf numFmtId="0" fontId="0" fillId="0" borderId="0" xfId="0" applyFont="1" applyAlignment="1">
      <alignment vertical="top" wrapText="1"/>
    </xf>
    <xf numFmtId="0" fontId="46" fillId="5" borderId="0" xfId="0" applyFont="1" applyFill="1" applyAlignment="1">
      <alignment wrapText="1"/>
    </xf>
    <xf numFmtId="0" fontId="0" fillId="5" borderId="0" xfId="0" applyFont="1" applyFill="1" applyAlignment="1">
      <alignment wrapText="1"/>
    </xf>
    <xf numFmtId="0" fontId="46" fillId="0" borderId="0" xfId="0" applyFont="1" applyAlignment="1">
      <alignment vertical="top"/>
    </xf>
    <xf numFmtId="0" fontId="46" fillId="0" borderId="0" xfId="0" applyFont="1" applyAlignment="1">
      <alignment vertical="top"/>
    </xf>
    <xf numFmtId="0" fontId="62" fillId="0" borderId="0" xfId="0" applyFont="1" applyAlignment="1">
      <alignment vertical="top"/>
    </xf>
    <xf numFmtId="0" fontId="63" fillId="5" borderId="0" xfId="0" applyFont="1" applyFill="1"/>
    <xf numFmtId="165" fontId="8" fillId="0" borderId="0" xfId="0" applyNumberFormat="1" applyFont="1"/>
    <xf numFmtId="165" fontId="8" fillId="0" borderId="0" xfId="0" applyNumberFormat="1" applyFont="1" applyAlignment="1"/>
    <xf numFmtId="0" fontId="4" fillId="0" borderId="0" xfId="0" applyFont="1" applyAlignment="1">
      <alignment horizontal="center"/>
    </xf>
    <xf numFmtId="0" fontId="4" fillId="0" borderId="0" xfId="0" applyFont="1" applyAlignment="1">
      <alignment wrapText="1"/>
    </xf>
    <xf numFmtId="0" fontId="64" fillId="5" borderId="0" xfId="0" applyFont="1" applyFill="1" applyAlignment="1">
      <alignment wrapText="1"/>
    </xf>
    <xf numFmtId="0" fontId="64" fillId="5" borderId="0" xfId="0" applyFont="1" applyFill="1" applyAlignment="1">
      <alignment wrapText="1"/>
    </xf>
    <xf numFmtId="0" fontId="64" fillId="5" borderId="0" xfId="0" applyFont="1" applyFill="1" applyAlignment="1"/>
    <xf numFmtId="0" fontId="64" fillId="5" borderId="0" xfId="0" applyFont="1" applyFill="1" applyAlignment="1">
      <alignment horizontal="left"/>
    </xf>
    <xf numFmtId="0" fontId="8" fillId="0" borderId="0" xfId="0" applyFont="1" applyAlignment="1">
      <alignment vertical="top"/>
    </xf>
    <xf numFmtId="0" fontId="8" fillId="0" borderId="0" xfId="0" applyFont="1" applyAlignment="1">
      <alignment vertical="top"/>
    </xf>
    <xf numFmtId="0" fontId="8" fillId="0" borderId="0" xfId="0" applyFont="1" applyAlignment="1"/>
    <xf numFmtId="0" fontId="65" fillId="0" borderId="0" xfId="0" applyFont="1" applyAlignment="1">
      <alignment vertical="center"/>
    </xf>
    <xf numFmtId="0" fontId="66" fillId="0" borderId="0" xfId="0" applyFont="1" applyAlignment="1">
      <alignment vertical="center"/>
    </xf>
    <xf numFmtId="0" fontId="67" fillId="0" borderId="0" xfId="0" applyFont="1" applyAlignment="1"/>
    <xf numFmtId="0" fontId="68" fillId="0" borderId="0" xfId="0" applyFont="1" applyAlignment="1"/>
    <xf numFmtId="0" fontId="8" fillId="0" borderId="0" xfId="0" applyFont="1" applyAlignment="1"/>
    <xf numFmtId="0" fontId="69" fillId="5" borderId="0" xfId="0" applyFont="1" applyFill="1" applyAlignment="1"/>
    <xf numFmtId="0" fontId="70" fillId="0" borderId="0" xfId="0" applyFont="1" applyAlignment="1">
      <alignment wrapText="1"/>
    </xf>
    <xf numFmtId="0" fontId="70" fillId="0" borderId="0" xfId="0" applyFont="1" applyAlignment="1">
      <alignment vertical="top" wrapText="1"/>
    </xf>
    <xf numFmtId="0" fontId="70" fillId="0" borderId="0" xfId="0" applyFont="1" applyAlignment="1"/>
    <xf numFmtId="0" fontId="71" fillId="0" borderId="0" xfId="0" applyFont="1" applyAlignment="1">
      <alignment wrapText="1"/>
    </xf>
    <xf numFmtId="0" fontId="72" fillId="0" borderId="0" xfId="0" applyFont="1" applyAlignment="1"/>
    <xf numFmtId="0" fontId="73" fillId="0" borderId="0" xfId="0" applyFont="1" applyAlignment="1">
      <alignment wrapText="1"/>
    </xf>
    <xf numFmtId="0" fontId="8" fillId="0" borderId="0" xfId="0" applyFont="1" applyAlignment="1"/>
    <xf numFmtId="0" fontId="74" fillId="0" borderId="0" xfId="0" applyFont="1" applyAlignment="1"/>
    <xf numFmtId="0" fontId="75" fillId="5" borderId="0" xfId="0" applyFont="1" applyFill="1" applyAlignment="1"/>
    <xf numFmtId="0" fontId="76" fillId="0" borderId="0" xfId="0" applyFont="1" applyAlignment="1"/>
    <xf numFmtId="0" fontId="51" fillId="0" borderId="0" xfId="0" applyFont="1" applyAlignment="1">
      <alignment vertical="top"/>
    </xf>
    <xf numFmtId="0" fontId="26" fillId="0" borderId="0" xfId="0" applyFont="1" applyAlignment="1">
      <alignment vertical="top"/>
    </xf>
    <xf numFmtId="0" fontId="77" fillId="0" borderId="0" xfId="0" applyFont="1" applyAlignment="1">
      <alignment vertical="top"/>
    </xf>
    <xf numFmtId="0" fontId="78" fillId="0" borderId="0" xfId="0" applyFont="1" applyAlignment="1">
      <alignment vertical="top"/>
    </xf>
    <xf numFmtId="0" fontId="46" fillId="0" borderId="0" xfId="0" applyFont="1" applyAlignment="1"/>
    <xf numFmtId="0" fontId="46" fillId="0" borderId="0" xfId="0" applyFont="1" applyAlignment="1">
      <alignment wrapText="1"/>
    </xf>
    <xf numFmtId="0" fontId="46" fillId="0" borderId="0" xfId="0" applyFont="1" applyAlignment="1"/>
    <xf numFmtId="0" fontId="79" fillId="0" borderId="0" xfId="0" applyFont="1" applyAlignment="1"/>
    <xf numFmtId="0" fontId="80" fillId="0" borderId="0" xfId="0" applyFont="1" applyAlignment="1"/>
    <xf numFmtId="0" fontId="45" fillId="0" borderId="0" xfId="0" applyFont="1" applyAlignment="1">
      <alignment vertical="top"/>
    </xf>
    <xf numFmtId="0" fontId="81" fillId="0" borderId="0" xfId="0" applyFont="1" applyAlignment="1">
      <alignment vertical="top"/>
    </xf>
    <xf numFmtId="0" fontId="82" fillId="0" borderId="0" xfId="0" applyFont="1" applyAlignment="1">
      <alignment vertical="top"/>
    </xf>
    <xf numFmtId="0" fontId="4" fillId="0" borderId="0" xfId="0" applyFont="1" applyAlignment="1">
      <alignment horizontal="right"/>
    </xf>
    <xf numFmtId="0" fontId="83" fillId="0" borderId="0" xfId="0" applyFont="1" applyAlignment="1"/>
    <xf numFmtId="0" fontId="84" fillId="0" borderId="0" xfId="0" applyFont="1" applyAlignment="1"/>
    <xf numFmtId="0" fontId="46" fillId="0" borderId="0" xfId="0" applyFont="1" applyAlignment="1">
      <alignment horizontal="left" vertical="top"/>
    </xf>
    <xf numFmtId="0" fontId="46" fillId="0" borderId="0" xfId="0" applyFont="1" applyAlignment="1">
      <alignment horizontal="left" vertical="top"/>
    </xf>
    <xf numFmtId="0" fontId="85" fillId="0" borderId="0" xfId="0" applyFont="1" applyAlignment="1">
      <alignment horizontal="left" vertical="top"/>
    </xf>
    <xf numFmtId="0" fontId="8" fillId="0" borderId="0" xfId="0" applyFont="1" applyAlignment="1">
      <alignment horizontal="center"/>
    </xf>
    <xf numFmtId="0" fontId="86" fillId="0" borderId="0" xfId="0" applyFont="1" applyAlignment="1">
      <alignment horizontal="center"/>
    </xf>
    <xf numFmtId="0" fontId="87" fillId="0" borderId="0" xfId="0" applyFont="1" applyAlignment="1">
      <alignment horizontal="center"/>
    </xf>
    <xf numFmtId="0" fontId="26" fillId="5" borderId="0" xfId="0" applyFont="1" applyFill="1" applyAlignment="1">
      <alignment horizontal="left"/>
    </xf>
    <xf numFmtId="0" fontId="88" fillId="5" borderId="0" xfId="0" applyFont="1" applyFill="1" applyAlignment="1">
      <alignment horizontal="left"/>
    </xf>
    <xf numFmtId="0" fontId="89" fillId="0" borderId="0" xfId="0" applyFont="1" applyAlignment="1"/>
    <xf numFmtId="0" fontId="51" fillId="5" borderId="0" xfId="0" applyFont="1" applyFill="1" applyAlignment="1">
      <alignment horizontal="left"/>
    </xf>
    <xf numFmtId="0" fontId="90" fillId="0" borderId="0" xfId="0" applyFont="1" applyAlignment="1">
      <alignment wrapText="1"/>
    </xf>
    <xf numFmtId="0" fontId="46" fillId="0" borderId="0" xfId="0" applyFont="1" applyAlignment="1">
      <alignment horizontal="left"/>
    </xf>
    <xf numFmtId="0" fontId="45" fillId="0" borderId="0" xfId="0" applyFont="1" applyAlignment="1">
      <alignment horizontal="left"/>
    </xf>
    <xf numFmtId="0" fontId="46" fillId="0" borderId="0" xfId="0" applyFont="1" applyAlignment="1">
      <alignment horizontal="left" wrapText="1"/>
    </xf>
    <xf numFmtId="0" fontId="91" fillId="0" borderId="0" xfId="0" applyFont="1" applyAlignment="1">
      <alignment horizontal="left"/>
    </xf>
    <xf numFmtId="0" fontId="46" fillId="0" borderId="0" xfId="0" applyFont="1" applyAlignment="1">
      <alignment horizontal="left"/>
    </xf>
    <xf numFmtId="0" fontId="92" fillId="0" borderId="0" xfId="0" applyFont="1" applyAlignment="1">
      <alignment horizontal="left"/>
    </xf>
    <xf numFmtId="0" fontId="4" fillId="0" borderId="0" xfId="0" applyFont="1" applyAlignment="1"/>
    <xf numFmtId="0" fontId="45" fillId="0" borderId="0" xfId="0" applyFont="1" applyAlignment="1">
      <alignment horizontal="left" vertical="top"/>
    </xf>
    <xf numFmtId="0" fontId="45" fillId="0" borderId="0" xfId="0" applyFont="1" applyAlignment="1">
      <alignment vertical="top"/>
    </xf>
    <xf numFmtId="0" fontId="8" fillId="0" borderId="0" xfId="0" applyFont="1" applyAlignment="1">
      <alignment horizontal="center"/>
    </xf>
    <xf numFmtId="0" fontId="8" fillId="5" borderId="0" xfId="0" applyFont="1" applyFill="1" applyAlignment="1">
      <alignment vertical="top"/>
    </xf>
    <xf numFmtId="0" fontId="93" fillId="0" borderId="0" xfId="0" applyFont="1" applyAlignment="1"/>
    <xf numFmtId="0" fontId="8" fillId="0" borderId="0" xfId="0" applyFont="1" applyAlignment="1">
      <alignment vertical="top"/>
    </xf>
    <xf numFmtId="0" fontId="26" fillId="0" borderId="0" xfId="0" applyFont="1" applyAlignment="1">
      <alignment vertical="top"/>
    </xf>
    <xf numFmtId="0" fontId="26" fillId="0" borderId="0" xfId="0" applyFont="1" applyAlignment="1">
      <alignment vertical="top"/>
    </xf>
    <xf numFmtId="0" fontId="94" fillId="0" borderId="0" xfId="0" applyFont="1" applyAlignment="1">
      <alignment wrapText="1"/>
    </xf>
    <xf numFmtId="0" fontId="95" fillId="0" borderId="0" xfId="0" applyFont="1" applyAlignment="1">
      <alignment vertical="top"/>
    </xf>
    <xf numFmtId="0" fontId="96" fillId="0" borderId="0" xfId="0" applyFont="1" applyAlignment="1"/>
    <xf numFmtId="0" fontId="51" fillId="0" borderId="0" xfId="0" applyFont="1" applyAlignment="1"/>
    <xf numFmtId="0" fontId="26" fillId="0" borderId="0" xfId="0" applyFont="1" applyAlignment="1"/>
    <xf numFmtId="0" fontId="8" fillId="0" borderId="0" xfId="0" quotePrefix="1" applyFont="1" applyAlignment="1">
      <alignment wrapText="1"/>
    </xf>
    <xf numFmtId="0" fontId="51" fillId="0" borderId="0" xfId="0" applyFont="1" applyAlignment="1">
      <alignment horizontal="left"/>
    </xf>
    <xf numFmtId="0" fontId="47" fillId="0" borderId="0" xfId="0" applyFont="1" applyAlignment="1">
      <alignment horizontal="left" wrapText="1"/>
    </xf>
    <xf numFmtId="0" fontId="26" fillId="0" borderId="0" xfId="0" applyFont="1" applyAlignment="1">
      <alignment horizontal="left"/>
    </xf>
    <xf numFmtId="0" fontId="26" fillId="0" borderId="0" xfId="0" applyFont="1" applyAlignment="1">
      <alignment horizontal="left" wrapText="1"/>
    </xf>
    <xf numFmtId="0" fontId="51" fillId="0" borderId="0" xfId="0" applyFont="1" applyAlignment="1">
      <alignment horizontal="left" wrapText="1"/>
    </xf>
    <xf numFmtId="0" fontId="46" fillId="0" borderId="0" xfId="0" applyFont="1" applyAlignment="1">
      <alignment horizontal="left"/>
    </xf>
    <xf numFmtId="0" fontId="26" fillId="0" borderId="0" xfId="0" applyFont="1" applyAlignment="1">
      <alignment horizontal="center"/>
    </xf>
    <xf numFmtId="0" fontId="97" fillId="0" borderId="0" xfId="0" applyFont="1" applyAlignment="1">
      <alignment horizontal="left" vertical="top"/>
    </xf>
    <xf numFmtId="0" fontId="46" fillId="0" borderId="0" xfId="0" applyFont="1" applyAlignment="1">
      <alignment horizontal="left" vertical="top"/>
    </xf>
    <xf numFmtId="0" fontId="98" fillId="0" borderId="0" xfId="0" applyFont="1" applyAlignment="1">
      <alignment vertical="top"/>
    </xf>
    <xf numFmtId="0" fontId="8" fillId="3" borderId="1" xfId="0" applyFont="1" applyFill="1" applyBorder="1" applyAlignment="1">
      <alignment vertical="top"/>
    </xf>
    <xf numFmtId="0" fontId="99" fillId="3" borderId="1" xfId="0" applyFont="1" applyFill="1" applyBorder="1" applyAlignment="1">
      <alignment vertical="top"/>
    </xf>
    <xf numFmtId="0" fontId="100" fillId="0" borderId="0" xfId="0" applyFont="1" applyAlignment="1"/>
    <xf numFmtId="0" fontId="101" fillId="5" borderId="0" xfId="0" applyFont="1" applyFill="1" applyAlignment="1">
      <alignment horizontal="left"/>
    </xf>
    <xf numFmtId="0" fontId="4" fillId="0" borderId="2" xfId="0" applyFont="1" applyBorder="1" applyAlignment="1"/>
    <xf numFmtId="0" fontId="8" fillId="0" borderId="2" xfId="0" applyFont="1" applyBorder="1" applyAlignment="1"/>
    <xf numFmtId="0" fontId="102" fillId="0" borderId="2" xfId="0" applyFont="1" applyBorder="1" applyAlignment="1"/>
    <xf numFmtId="0" fontId="103" fillId="0" borderId="2" xfId="0" applyFont="1" applyBorder="1" applyAlignment="1"/>
    <xf numFmtId="0" fontId="104" fillId="0" borderId="2" xfId="0" applyFont="1" applyBorder="1" applyAlignment="1"/>
    <xf numFmtId="0" fontId="105" fillId="0" borderId="2" xfId="0" applyFont="1" applyBorder="1" applyAlignment="1"/>
    <xf numFmtId="0" fontId="4" fillId="5" borderId="0" xfId="0" applyFont="1" applyFill="1" applyAlignment="1">
      <alignment vertical="top" wrapText="1"/>
    </xf>
    <xf numFmtId="0" fontId="26" fillId="5" borderId="0" xfId="0" applyFont="1" applyFill="1" applyAlignment="1">
      <alignment vertical="top"/>
    </xf>
    <xf numFmtId="0" fontId="26" fillId="5" borderId="0" xfId="0" applyFont="1" applyFill="1" applyAlignment="1">
      <alignment vertical="top" wrapText="1"/>
    </xf>
    <xf numFmtId="0" fontId="106" fillId="0" borderId="0" xfId="0" applyFont="1" applyAlignment="1">
      <alignment vertical="top"/>
    </xf>
    <xf numFmtId="166" fontId="8" fillId="0" borderId="0" xfId="0" applyNumberFormat="1" applyFont="1" applyAlignment="1">
      <alignment wrapText="1"/>
    </xf>
    <xf numFmtId="0" fontId="51" fillId="5" borderId="0" xfId="0" applyFont="1" applyFill="1" applyAlignment="1"/>
    <xf numFmtId="0" fontId="26" fillId="5" borderId="0" xfId="0" applyFont="1" applyFill="1" applyAlignment="1"/>
    <xf numFmtId="0" fontId="26" fillId="0" borderId="0" xfId="0" applyFont="1" applyAlignment="1"/>
    <xf numFmtId="0" fontId="26" fillId="5" borderId="0" xfId="0" applyFont="1" applyFill="1" applyAlignment="1">
      <alignment horizontal="left"/>
    </xf>
    <xf numFmtId="0" fontId="107" fillId="5" borderId="0" xfId="0" applyFont="1" applyFill="1" applyAlignment="1">
      <alignment horizontal="left"/>
    </xf>
    <xf numFmtId="167" fontId="108" fillId="0" borderId="0" xfId="0" applyNumberFormat="1" applyFont="1" applyAlignment="1">
      <alignment horizontal="right"/>
    </xf>
    <xf numFmtId="0" fontId="109" fillId="5" borderId="0" xfId="0" applyFont="1" applyFill="1" applyAlignment="1"/>
    <xf numFmtId="0" fontId="110" fillId="0" borderId="0" xfId="0" applyFont="1" applyAlignment="1">
      <alignment wrapText="1"/>
    </xf>
    <xf numFmtId="0" fontId="111" fillId="0" borderId="0" xfId="0" applyFont="1" applyAlignment="1"/>
    <xf numFmtId="0" fontId="46" fillId="0" borderId="0" xfId="0" applyFont="1" applyAlignment="1"/>
    <xf numFmtId="167" fontId="46" fillId="0" borderId="0" xfId="0" applyNumberFormat="1" applyFont="1" applyAlignment="1">
      <alignment horizontal="left"/>
    </xf>
    <xf numFmtId="0" fontId="46" fillId="0" borderId="0" xfId="0" applyFont="1" applyAlignment="1"/>
    <xf numFmtId="0" fontId="8" fillId="5" borderId="0" xfId="0" applyFont="1" applyFill="1" applyAlignment="1">
      <alignment wrapText="1"/>
    </xf>
    <xf numFmtId="0" fontId="8" fillId="5" borderId="0" xfId="0" applyFont="1" applyFill="1" applyAlignment="1">
      <alignment wrapText="1"/>
    </xf>
    <xf numFmtId="0" fontId="8" fillId="0" borderId="2" xfId="0" applyFont="1" applyBorder="1" applyAlignment="1">
      <alignment wrapText="1"/>
    </xf>
    <xf numFmtId="0" fontId="112" fillId="0" borderId="2" xfId="0" applyFont="1" applyBorder="1" applyAlignment="1">
      <alignment wrapText="1"/>
    </xf>
    <xf numFmtId="0" fontId="113" fillId="0" borderId="2" xfId="0" applyFont="1" applyBorder="1" applyAlignment="1">
      <alignment wrapText="1"/>
    </xf>
    <xf numFmtId="0" fontId="8" fillId="0" borderId="2" xfId="0" applyFont="1" applyBorder="1" applyAlignment="1">
      <alignment horizontal="right"/>
    </xf>
    <xf numFmtId="164" fontId="8" fillId="0" borderId="0" xfId="0" applyNumberFormat="1" applyFont="1" applyAlignment="1">
      <alignment wrapText="1"/>
    </xf>
    <xf numFmtId="0" fontId="8" fillId="0" borderId="2" xfId="0" applyFont="1" applyBorder="1" applyAlignment="1">
      <alignment wrapText="1"/>
    </xf>
    <xf numFmtId="168" fontId="8" fillId="0" borderId="2" xfId="0" applyNumberFormat="1" applyFont="1" applyBorder="1" applyAlignment="1">
      <alignment horizontal="right"/>
    </xf>
    <xf numFmtId="0" fontId="114" fillId="0" borderId="0" xfId="0" applyFont="1" applyAlignment="1"/>
    <xf numFmtId="0" fontId="114" fillId="0" borderId="0" xfId="0" applyFont="1" applyAlignment="1">
      <alignment vertical="top"/>
    </xf>
    <xf numFmtId="0" fontId="114" fillId="0" borderId="0" xfId="0" applyFont="1" applyAlignment="1"/>
    <xf numFmtId="0" fontId="114" fillId="0" borderId="0" xfId="0" applyFont="1" applyAlignment="1"/>
    <xf numFmtId="0" fontId="115" fillId="0" borderId="0" xfId="0" applyFont="1" applyAlignment="1"/>
    <xf numFmtId="0" fontId="114" fillId="0" borderId="0" xfId="0" applyFont="1" applyAlignment="1"/>
    <xf numFmtId="169" fontId="8" fillId="0" borderId="0" xfId="0" applyNumberFormat="1" applyFont="1" applyAlignment="1">
      <alignment wrapText="1"/>
    </xf>
    <xf numFmtId="165" fontId="8" fillId="0" borderId="0" xfId="0" applyNumberFormat="1" applyFont="1" applyAlignment="1">
      <alignment wrapText="1"/>
    </xf>
    <xf numFmtId="0" fontId="26" fillId="5" borderId="0" xfId="0" applyFont="1" applyFill="1" applyAlignment="1"/>
    <xf numFmtId="0" fontId="8" fillId="5" borderId="0" xfId="0" applyFont="1" applyFill="1" applyAlignment="1"/>
    <xf numFmtId="0" fontId="46" fillId="0" borderId="0" xfId="0" applyFont="1" applyAlignment="1"/>
    <xf numFmtId="0" fontId="116" fillId="0" borderId="0" xfId="0" applyFont="1" applyAlignment="1"/>
    <xf numFmtId="0" fontId="117" fillId="0" borderId="0" xfId="0" applyFont="1" applyAlignment="1">
      <alignment vertical="top" wrapText="1"/>
    </xf>
    <xf numFmtId="0" fontId="26" fillId="0" borderId="0" xfId="0" applyFont="1" applyAlignment="1"/>
    <xf numFmtId="0" fontId="26" fillId="0" borderId="0" xfId="0" applyFont="1" applyAlignment="1"/>
    <xf numFmtId="0" fontId="118" fillId="0" borderId="0" xfId="0" applyFont="1" applyAlignment="1"/>
    <xf numFmtId="0" fontId="119" fillId="5" borderId="3" xfId="0" applyFont="1" applyFill="1" applyBorder="1" applyAlignment="1">
      <alignment wrapText="1"/>
    </xf>
    <xf numFmtId="0" fontId="120" fillId="5" borderId="3" xfId="0" applyFont="1" applyFill="1" applyBorder="1" applyAlignment="1">
      <alignment wrapText="1"/>
    </xf>
    <xf numFmtId="0" fontId="8" fillId="5" borderId="3" xfId="0" applyFont="1" applyFill="1" applyBorder="1" applyAlignment="1">
      <alignment wrapText="1"/>
    </xf>
    <xf numFmtId="0" fontId="26" fillId="0" borderId="0" xfId="0" applyFont="1" applyAlignment="1">
      <alignment horizontal="left" wrapText="1"/>
    </xf>
    <xf numFmtId="0" fontId="8" fillId="0" borderId="0" xfId="0" applyFont="1" applyAlignment="1">
      <alignment horizontal="left"/>
    </xf>
    <xf numFmtId="0" fontId="26" fillId="0" borderId="0" xfId="0" applyFont="1" applyAlignment="1">
      <alignment horizontal="left"/>
    </xf>
    <xf numFmtId="0" fontId="26" fillId="0" borderId="0" xfId="0" applyFont="1" applyAlignment="1">
      <alignment horizontal="left"/>
    </xf>
    <xf numFmtId="0" fontId="121" fillId="0" borderId="0" xfId="0" applyFont="1" applyAlignment="1">
      <alignment horizontal="left"/>
    </xf>
    <xf numFmtId="0" fontId="26" fillId="0" borderId="0" xfId="0" applyFont="1" applyAlignment="1">
      <alignment horizontal="left"/>
    </xf>
    <xf numFmtId="0" fontId="122" fillId="0" borderId="0" xfId="0" applyFont="1" applyAlignment="1">
      <alignment horizontal="left"/>
    </xf>
    <xf numFmtId="0" fontId="123" fillId="0" borderId="0" xfId="0" applyFont="1" applyAlignment="1">
      <alignment horizontal="left"/>
    </xf>
    <xf numFmtId="0" fontId="26" fillId="5" borderId="0" xfId="0" applyFont="1" applyFill="1" applyAlignment="1">
      <alignment horizontal="left"/>
    </xf>
    <xf numFmtId="0" fontId="26" fillId="5" borderId="0" xfId="0" applyFont="1" applyFill="1" applyAlignment="1">
      <alignment horizontal="left" wrapText="1"/>
    </xf>
    <xf numFmtId="0" fontId="124" fillId="0" borderId="0" xfId="0" applyFont="1" applyAlignment="1"/>
    <xf numFmtId="0" fontId="8" fillId="5" borderId="0" xfId="0" applyFont="1" applyFill="1" applyAlignment="1"/>
    <xf numFmtId="0" fontId="125" fillId="5" borderId="0" xfId="0" applyFont="1" applyFill="1" applyAlignment="1"/>
    <xf numFmtId="0" fontId="8" fillId="0" borderId="0" xfId="0" applyFont="1" applyAlignment="1"/>
    <xf numFmtId="0" fontId="26" fillId="0" borderId="0" xfId="0" applyFont="1" applyAlignment="1"/>
    <xf numFmtId="0" fontId="127" fillId="0" borderId="0" xfId="0" applyFont="1" applyAlignment="1"/>
    <xf numFmtId="0" fontId="26" fillId="0" borderId="0" xfId="0" applyFont="1" applyAlignment="1"/>
    <xf numFmtId="0" fontId="4" fillId="0" borderId="0" xfId="0" applyFont="1" applyAlignment="1">
      <alignment horizontal="center" vertical="center"/>
    </xf>
    <xf numFmtId="0" fontId="8" fillId="0" borderId="0" xfId="0" applyFont="1" applyAlignment="1">
      <alignment horizontal="center" vertical="center" wrapText="1"/>
    </xf>
    <xf numFmtId="0" fontId="0" fillId="0" borderId="0" xfId="0" applyFont="1" applyAlignment="1"/>
    <xf numFmtId="0" fontId="8" fillId="0" borderId="0" xfId="0" applyFont="1" applyAlignment="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0" fontId="19" fillId="0" borderId="0" xfId="0" applyFont="1" applyAlignment="1">
      <alignment vertical="center" wrapText="1"/>
    </xf>
    <xf numFmtId="0" fontId="0" fillId="0" borderId="0" xfId="0" applyFont="1" applyAlignment="1"/>
    <xf numFmtId="0" fontId="1" fillId="0" borderId="0" xfId="0" applyFont="1" applyAlignment="1">
      <alignment horizontal="center" vertical="top"/>
    </xf>
    <xf numFmtId="0" fontId="8" fillId="0" borderId="0" xfId="0" applyFont="1" applyAlignment="1"/>
    <xf numFmtId="0" fontId="126" fillId="0" borderId="0" xfId="0" applyFont="1" applyBorder="1" applyAlignment="1"/>
    <xf numFmtId="0" fontId="127" fillId="0" borderId="0" xfId="0" applyFont="1" applyBorder="1" applyAlignment="1"/>
    <xf numFmtId="0" fontId="12" fillId="0" borderId="1" xfId="0"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a:t>Function Count</a:t>
            </a:r>
          </a:p>
        </c:rich>
      </c:tx>
      <c:overlay val="0"/>
    </c:title>
    <c:autoTitleDeleted val="0"/>
    <c:plotArea>
      <c:layout/>
      <c:pieChart>
        <c:varyColors val="1"/>
        <c:ser>
          <c:idx val="0"/>
          <c:order val="0"/>
          <c:tx>
            <c:strRef>
              <c:f>Analytics!$C$3</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E743-224C-A9DD-0022FAF8FD77}"/>
              </c:ext>
            </c:extLst>
          </c:dPt>
          <c:dPt>
            <c:idx val="1"/>
            <c:bubble3D val="0"/>
            <c:spPr>
              <a:solidFill>
                <a:srgbClr val="EA4335"/>
              </a:solidFill>
            </c:spPr>
            <c:extLst>
              <c:ext xmlns:c16="http://schemas.microsoft.com/office/drawing/2014/chart" uri="{C3380CC4-5D6E-409C-BE32-E72D297353CC}">
                <c16:uniqueId val="{00000003-E743-224C-A9DD-0022FAF8FD77}"/>
              </c:ext>
            </c:extLst>
          </c:dPt>
          <c:dPt>
            <c:idx val="2"/>
            <c:bubble3D val="0"/>
            <c:spPr>
              <a:solidFill>
                <a:srgbClr val="FBBC04"/>
              </a:solidFill>
            </c:spPr>
            <c:extLst>
              <c:ext xmlns:c16="http://schemas.microsoft.com/office/drawing/2014/chart" uri="{C3380CC4-5D6E-409C-BE32-E72D297353CC}">
                <c16:uniqueId val="{00000005-E743-224C-A9DD-0022FAF8FD77}"/>
              </c:ext>
            </c:extLst>
          </c:dPt>
          <c:dPt>
            <c:idx val="3"/>
            <c:bubble3D val="0"/>
            <c:spPr>
              <a:solidFill>
                <a:srgbClr val="34A853"/>
              </a:solidFill>
            </c:spPr>
            <c:extLst>
              <c:ext xmlns:c16="http://schemas.microsoft.com/office/drawing/2014/chart" uri="{C3380CC4-5D6E-409C-BE32-E72D297353CC}">
                <c16:uniqueId val="{00000007-E743-224C-A9DD-0022FAF8FD77}"/>
              </c:ext>
            </c:extLst>
          </c:dPt>
          <c:dPt>
            <c:idx val="4"/>
            <c:bubble3D val="0"/>
            <c:spPr>
              <a:solidFill>
                <a:srgbClr val="FF6D01"/>
              </a:solidFill>
            </c:spPr>
            <c:extLst>
              <c:ext xmlns:c16="http://schemas.microsoft.com/office/drawing/2014/chart" uri="{C3380CC4-5D6E-409C-BE32-E72D297353CC}">
                <c16:uniqueId val="{00000009-E743-224C-A9DD-0022FAF8FD77}"/>
              </c:ext>
            </c:extLst>
          </c:dPt>
          <c:dPt>
            <c:idx val="5"/>
            <c:bubble3D val="0"/>
            <c:spPr>
              <a:solidFill>
                <a:srgbClr val="46BDC6"/>
              </a:solidFill>
            </c:spPr>
            <c:extLst>
              <c:ext xmlns:c16="http://schemas.microsoft.com/office/drawing/2014/chart" uri="{C3380CC4-5D6E-409C-BE32-E72D297353CC}">
                <c16:uniqueId val="{0000000B-E743-224C-A9DD-0022FAF8FD77}"/>
              </c:ext>
            </c:extLst>
          </c:dPt>
          <c:dPt>
            <c:idx val="6"/>
            <c:bubble3D val="0"/>
            <c:spPr>
              <a:solidFill>
                <a:srgbClr val="7BAAF7"/>
              </a:solidFill>
            </c:spPr>
            <c:extLst>
              <c:ext xmlns:c16="http://schemas.microsoft.com/office/drawing/2014/chart" uri="{C3380CC4-5D6E-409C-BE32-E72D297353CC}">
                <c16:uniqueId val="{0000000D-E743-224C-A9DD-0022FAF8FD77}"/>
              </c:ext>
            </c:extLst>
          </c:dPt>
          <c:dPt>
            <c:idx val="7"/>
            <c:bubble3D val="0"/>
            <c:spPr>
              <a:solidFill>
                <a:srgbClr val="F07B72"/>
              </a:solidFill>
            </c:spPr>
            <c:extLst>
              <c:ext xmlns:c16="http://schemas.microsoft.com/office/drawing/2014/chart" uri="{C3380CC4-5D6E-409C-BE32-E72D297353CC}">
                <c16:uniqueId val="{0000000F-E743-224C-A9DD-0022FAF8FD77}"/>
              </c:ext>
            </c:extLst>
          </c:dPt>
          <c:dPt>
            <c:idx val="8"/>
            <c:bubble3D val="0"/>
            <c:spPr>
              <a:solidFill>
                <a:srgbClr val="FCD04F"/>
              </a:solidFill>
            </c:spPr>
            <c:extLst>
              <c:ext xmlns:c16="http://schemas.microsoft.com/office/drawing/2014/chart" uri="{C3380CC4-5D6E-409C-BE32-E72D297353CC}">
                <c16:uniqueId val="{00000011-E743-224C-A9DD-0022FAF8FD77}"/>
              </c:ext>
            </c:extLst>
          </c:dPt>
          <c:dPt>
            <c:idx val="9"/>
            <c:bubble3D val="0"/>
            <c:spPr>
              <a:solidFill>
                <a:srgbClr val="71C287"/>
              </a:solidFill>
            </c:spPr>
            <c:extLst>
              <c:ext xmlns:c16="http://schemas.microsoft.com/office/drawing/2014/chart" uri="{C3380CC4-5D6E-409C-BE32-E72D297353CC}">
                <c16:uniqueId val="{00000013-E743-224C-A9DD-0022FAF8FD77}"/>
              </c:ext>
            </c:extLst>
          </c:dPt>
          <c:dPt>
            <c:idx val="10"/>
            <c:bubble3D val="0"/>
            <c:extLst>
              <c:ext xmlns:c16="http://schemas.microsoft.com/office/drawing/2014/chart" uri="{C3380CC4-5D6E-409C-BE32-E72D297353CC}">
                <c16:uniqueId val="{00000014-E743-224C-A9DD-0022FAF8FD77}"/>
              </c:ext>
            </c:extLst>
          </c:dPt>
          <c:cat>
            <c:strRef>
              <c:f>Analytics!$B$4:$B$14</c:f>
              <c:strCache>
                <c:ptCount val="10"/>
                <c:pt idx="0">
                  <c:v>Data and Analytics</c:v>
                </c:pt>
                <c:pt idx="1">
                  <c:v>Product</c:v>
                </c:pt>
                <c:pt idx="2">
                  <c:v>Content</c:v>
                </c:pt>
                <c:pt idx="3">
                  <c:v>Exec Team</c:v>
                </c:pt>
                <c:pt idx="4">
                  <c:v>Ops</c:v>
                </c:pt>
                <c:pt idx="5">
                  <c:v>Legal</c:v>
                </c:pt>
                <c:pt idx="6">
                  <c:v>Marketing</c:v>
                </c:pt>
                <c:pt idx="7">
                  <c:v>Engineering</c:v>
                </c:pt>
                <c:pt idx="8">
                  <c:v>BD and Partnerships</c:v>
                </c:pt>
                <c:pt idx="9">
                  <c:v>Design</c:v>
                </c:pt>
              </c:strCache>
            </c:strRef>
          </c:cat>
          <c:val>
            <c:numRef>
              <c:f>Analytics!$C$4:$C$14</c:f>
              <c:numCache>
                <c:formatCode>General</c:formatCode>
                <c:ptCount val="11"/>
                <c:pt idx="0">
                  <c:v>197</c:v>
                </c:pt>
                <c:pt idx="1">
                  <c:v>275</c:v>
                </c:pt>
                <c:pt idx="2">
                  <c:v>0</c:v>
                </c:pt>
                <c:pt idx="3">
                  <c:v>110</c:v>
                </c:pt>
                <c:pt idx="4">
                  <c:v>242</c:v>
                </c:pt>
                <c:pt idx="5">
                  <c:v>0</c:v>
                </c:pt>
                <c:pt idx="6">
                  <c:v>390</c:v>
                </c:pt>
                <c:pt idx="7">
                  <c:v>174</c:v>
                </c:pt>
                <c:pt idx="8">
                  <c:v>341</c:v>
                </c:pt>
                <c:pt idx="9">
                  <c:v>166</c:v>
                </c:pt>
              </c:numCache>
            </c:numRef>
          </c:val>
          <c:extLst>
            <c:ext xmlns:c16="http://schemas.microsoft.com/office/drawing/2014/chart" uri="{C3380CC4-5D6E-409C-BE32-E72D297353CC}">
              <c16:uniqueId val="{00000015-E743-224C-A9DD-0022FAF8FD7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a:t>Country Count</a:t>
            </a:r>
          </a:p>
        </c:rich>
      </c:tx>
      <c:overlay val="0"/>
    </c:title>
    <c:autoTitleDeleted val="0"/>
    <c:plotArea>
      <c:layout/>
      <c:pieChart>
        <c:varyColors val="1"/>
        <c:ser>
          <c:idx val="0"/>
          <c:order val="0"/>
          <c:tx>
            <c:strRef>
              <c:f>Analytics!$C$16</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4C34-E94F-84D1-648C55E81F04}"/>
              </c:ext>
            </c:extLst>
          </c:dPt>
          <c:dPt>
            <c:idx val="1"/>
            <c:bubble3D val="0"/>
            <c:spPr>
              <a:solidFill>
                <a:srgbClr val="EA4335"/>
              </a:solidFill>
            </c:spPr>
            <c:extLst>
              <c:ext xmlns:c16="http://schemas.microsoft.com/office/drawing/2014/chart" uri="{C3380CC4-5D6E-409C-BE32-E72D297353CC}">
                <c16:uniqueId val="{00000003-4C34-E94F-84D1-648C55E81F04}"/>
              </c:ext>
            </c:extLst>
          </c:dPt>
          <c:dPt>
            <c:idx val="2"/>
            <c:bubble3D val="0"/>
            <c:spPr>
              <a:solidFill>
                <a:srgbClr val="FBBC04"/>
              </a:solidFill>
            </c:spPr>
            <c:extLst>
              <c:ext xmlns:c16="http://schemas.microsoft.com/office/drawing/2014/chart" uri="{C3380CC4-5D6E-409C-BE32-E72D297353CC}">
                <c16:uniqueId val="{00000005-4C34-E94F-84D1-648C55E81F04}"/>
              </c:ext>
            </c:extLst>
          </c:dPt>
          <c:dPt>
            <c:idx val="3"/>
            <c:bubble3D val="0"/>
            <c:spPr>
              <a:solidFill>
                <a:srgbClr val="34A853"/>
              </a:solidFill>
            </c:spPr>
            <c:extLst>
              <c:ext xmlns:c16="http://schemas.microsoft.com/office/drawing/2014/chart" uri="{C3380CC4-5D6E-409C-BE32-E72D297353CC}">
                <c16:uniqueId val="{00000007-4C34-E94F-84D1-648C55E81F04}"/>
              </c:ext>
            </c:extLst>
          </c:dPt>
          <c:dPt>
            <c:idx val="4"/>
            <c:bubble3D val="0"/>
            <c:spPr>
              <a:solidFill>
                <a:srgbClr val="FF6D01"/>
              </a:solidFill>
            </c:spPr>
            <c:extLst>
              <c:ext xmlns:c16="http://schemas.microsoft.com/office/drawing/2014/chart" uri="{C3380CC4-5D6E-409C-BE32-E72D297353CC}">
                <c16:uniqueId val="{00000009-4C34-E94F-84D1-648C55E81F04}"/>
              </c:ext>
            </c:extLst>
          </c:dPt>
          <c:dPt>
            <c:idx val="5"/>
            <c:bubble3D val="0"/>
            <c:spPr>
              <a:solidFill>
                <a:srgbClr val="46BDC6"/>
              </a:solidFill>
            </c:spPr>
            <c:extLst>
              <c:ext xmlns:c16="http://schemas.microsoft.com/office/drawing/2014/chart" uri="{C3380CC4-5D6E-409C-BE32-E72D297353CC}">
                <c16:uniqueId val="{0000000B-4C34-E94F-84D1-648C55E81F04}"/>
              </c:ext>
            </c:extLst>
          </c:dPt>
          <c:dPt>
            <c:idx val="6"/>
            <c:bubble3D val="0"/>
            <c:spPr>
              <a:solidFill>
                <a:srgbClr val="7BAAF7"/>
              </a:solidFill>
            </c:spPr>
            <c:extLst>
              <c:ext xmlns:c16="http://schemas.microsoft.com/office/drawing/2014/chart" uri="{C3380CC4-5D6E-409C-BE32-E72D297353CC}">
                <c16:uniqueId val="{0000000D-4C34-E94F-84D1-648C55E81F04}"/>
              </c:ext>
            </c:extLst>
          </c:dPt>
          <c:dPt>
            <c:idx val="7"/>
            <c:bubble3D val="0"/>
            <c:spPr>
              <a:solidFill>
                <a:srgbClr val="F07B72"/>
              </a:solidFill>
            </c:spPr>
            <c:extLst>
              <c:ext xmlns:c16="http://schemas.microsoft.com/office/drawing/2014/chart" uri="{C3380CC4-5D6E-409C-BE32-E72D297353CC}">
                <c16:uniqueId val="{0000000F-4C34-E94F-84D1-648C55E81F04}"/>
              </c:ext>
            </c:extLst>
          </c:dPt>
          <c:dPt>
            <c:idx val="8"/>
            <c:bubble3D val="0"/>
            <c:spPr>
              <a:solidFill>
                <a:srgbClr val="FCD04F"/>
              </a:solidFill>
            </c:spPr>
            <c:extLst>
              <c:ext xmlns:c16="http://schemas.microsoft.com/office/drawing/2014/chart" uri="{C3380CC4-5D6E-409C-BE32-E72D297353CC}">
                <c16:uniqueId val="{00000011-4C34-E94F-84D1-648C55E81F04}"/>
              </c:ext>
            </c:extLst>
          </c:dPt>
          <c:dPt>
            <c:idx val="9"/>
            <c:bubble3D val="0"/>
            <c:spPr>
              <a:solidFill>
                <a:srgbClr val="71C287"/>
              </a:solidFill>
            </c:spPr>
            <c:extLst>
              <c:ext xmlns:c16="http://schemas.microsoft.com/office/drawing/2014/chart" uri="{C3380CC4-5D6E-409C-BE32-E72D297353CC}">
                <c16:uniqueId val="{00000013-4C34-E94F-84D1-648C55E81F04}"/>
              </c:ext>
            </c:extLst>
          </c:dPt>
          <c:dPt>
            <c:idx val="10"/>
            <c:bubble3D val="0"/>
            <c:spPr>
              <a:solidFill>
                <a:srgbClr val="FF994D"/>
              </a:solidFill>
            </c:spPr>
            <c:extLst>
              <c:ext xmlns:c16="http://schemas.microsoft.com/office/drawing/2014/chart" uri="{C3380CC4-5D6E-409C-BE32-E72D297353CC}">
                <c16:uniqueId val="{00000015-4C34-E94F-84D1-648C55E81F04}"/>
              </c:ext>
            </c:extLst>
          </c:dPt>
          <c:dPt>
            <c:idx val="11"/>
            <c:bubble3D val="0"/>
            <c:spPr>
              <a:solidFill>
                <a:srgbClr val="7ED1D7"/>
              </a:solidFill>
            </c:spPr>
            <c:extLst>
              <c:ext xmlns:c16="http://schemas.microsoft.com/office/drawing/2014/chart" uri="{C3380CC4-5D6E-409C-BE32-E72D297353CC}">
                <c16:uniqueId val="{00000017-4C34-E94F-84D1-648C55E81F04}"/>
              </c:ext>
            </c:extLst>
          </c:dPt>
          <c:dPt>
            <c:idx val="12"/>
            <c:bubble3D val="0"/>
            <c:spPr>
              <a:solidFill>
                <a:srgbClr val="B3CEFB"/>
              </a:solidFill>
            </c:spPr>
            <c:extLst>
              <c:ext xmlns:c16="http://schemas.microsoft.com/office/drawing/2014/chart" uri="{C3380CC4-5D6E-409C-BE32-E72D297353CC}">
                <c16:uniqueId val="{00000019-4C34-E94F-84D1-648C55E81F04}"/>
              </c:ext>
            </c:extLst>
          </c:dPt>
          <c:dPt>
            <c:idx val="13"/>
            <c:bubble3D val="0"/>
            <c:spPr>
              <a:solidFill>
                <a:srgbClr val="F7B4AE"/>
              </a:solidFill>
            </c:spPr>
            <c:extLst>
              <c:ext xmlns:c16="http://schemas.microsoft.com/office/drawing/2014/chart" uri="{C3380CC4-5D6E-409C-BE32-E72D297353CC}">
                <c16:uniqueId val="{0000001B-4C34-E94F-84D1-648C55E81F04}"/>
              </c:ext>
            </c:extLst>
          </c:dPt>
          <c:dPt>
            <c:idx val="14"/>
            <c:bubble3D val="0"/>
            <c:spPr>
              <a:solidFill>
                <a:srgbClr val="FDE49B"/>
              </a:solidFill>
            </c:spPr>
            <c:extLst>
              <c:ext xmlns:c16="http://schemas.microsoft.com/office/drawing/2014/chart" uri="{C3380CC4-5D6E-409C-BE32-E72D297353CC}">
                <c16:uniqueId val="{0000001D-4C34-E94F-84D1-648C55E81F04}"/>
              </c:ext>
            </c:extLst>
          </c:dPt>
          <c:dPt>
            <c:idx val="15"/>
            <c:bubble3D val="0"/>
            <c:spPr>
              <a:solidFill>
                <a:srgbClr val="AEDCBA"/>
              </a:solidFill>
            </c:spPr>
            <c:extLst>
              <c:ext xmlns:c16="http://schemas.microsoft.com/office/drawing/2014/chart" uri="{C3380CC4-5D6E-409C-BE32-E72D297353CC}">
                <c16:uniqueId val="{0000001F-4C34-E94F-84D1-648C55E81F04}"/>
              </c:ext>
            </c:extLst>
          </c:dPt>
          <c:dPt>
            <c:idx val="16"/>
            <c:bubble3D val="0"/>
            <c:spPr>
              <a:solidFill>
                <a:srgbClr val="FFC599"/>
              </a:solidFill>
            </c:spPr>
            <c:extLst>
              <c:ext xmlns:c16="http://schemas.microsoft.com/office/drawing/2014/chart" uri="{C3380CC4-5D6E-409C-BE32-E72D297353CC}">
                <c16:uniqueId val="{00000021-4C34-E94F-84D1-648C55E81F04}"/>
              </c:ext>
            </c:extLst>
          </c:dPt>
          <c:dPt>
            <c:idx val="17"/>
            <c:bubble3D val="0"/>
            <c:spPr>
              <a:solidFill>
                <a:srgbClr val="B5E5E8"/>
              </a:solidFill>
            </c:spPr>
            <c:extLst>
              <c:ext xmlns:c16="http://schemas.microsoft.com/office/drawing/2014/chart" uri="{C3380CC4-5D6E-409C-BE32-E72D297353CC}">
                <c16:uniqueId val="{00000023-4C34-E94F-84D1-648C55E81F04}"/>
              </c:ext>
            </c:extLst>
          </c:dPt>
          <c:dPt>
            <c:idx val="18"/>
            <c:bubble3D val="0"/>
            <c:spPr>
              <a:solidFill>
                <a:srgbClr val="ECF3FE"/>
              </a:solidFill>
            </c:spPr>
            <c:extLst>
              <c:ext xmlns:c16="http://schemas.microsoft.com/office/drawing/2014/chart" uri="{C3380CC4-5D6E-409C-BE32-E72D297353CC}">
                <c16:uniqueId val="{00000025-4C34-E94F-84D1-648C55E81F04}"/>
              </c:ext>
            </c:extLst>
          </c:dPt>
          <c:dPt>
            <c:idx val="19"/>
            <c:bubble3D val="0"/>
            <c:spPr>
              <a:solidFill>
                <a:srgbClr val="FDECEB"/>
              </a:solidFill>
            </c:spPr>
            <c:extLst>
              <c:ext xmlns:c16="http://schemas.microsoft.com/office/drawing/2014/chart" uri="{C3380CC4-5D6E-409C-BE32-E72D297353CC}">
                <c16:uniqueId val="{00000027-4C34-E94F-84D1-648C55E81F04}"/>
              </c:ext>
            </c:extLst>
          </c:dPt>
          <c:dPt>
            <c:idx val="20"/>
            <c:bubble3D val="0"/>
            <c:spPr>
              <a:solidFill>
                <a:srgbClr val="FFF8E6"/>
              </a:solidFill>
            </c:spPr>
            <c:extLst>
              <c:ext xmlns:c16="http://schemas.microsoft.com/office/drawing/2014/chart" uri="{C3380CC4-5D6E-409C-BE32-E72D297353CC}">
                <c16:uniqueId val="{00000029-4C34-E94F-84D1-648C55E81F04}"/>
              </c:ext>
            </c:extLst>
          </c:dPt>
          <c:dPt>
            <c:idx val="21"/>
            <c:bubble3D val="0"/>
            <c:spPr>
              <a:solidFill>
                <a:srgbClr val="EBF6EE"/>
              </a:solidFill>
            </c:spPr>
            <c:extLst>
              <c:ext xmlns:c16="http://schemas.microsoft.com/office/drawing/2014/chart" uri="{C3380CC4-5D6E-409C-BE32-E72D297353CC}">
                <c16:uniqueId val="{0000002B-4C34-E94F-84D1-648C55E81F04}"/>
              </c:ext>
            </c:extLst>
          </c:dPt>
          <c:dPt>
            <c:idx val="22"/>
            <c:bubble3D val="0"/>
            <c:spPr>
              <a:solidFill>
                <a:srgbClr val="FFF0E6"/>
              </a:solidFill>
            </c:spPr>
            <c:extLst>
              <c:ext xmlns:c16="http://schemas.microsoft.com/office/drawing/2014/chart" uri="{C3380CC4-5D6E-409C-BE32-E72D297353CC}">
                <c16:uniqueId val="{0000002D-4C34-E94F-84D1-648C55E81F04}"/>
              </c:ext>
            </c:extLst>
          </c:dPt>
          <c:dPt>
            <c:idx val="23"/>
            <c:bubble3D val="0"/>
            <c:spPr>
              <a:solidFill>
                <a:srgbClr val="EDF8F9"/>
              </a:solidFill>
            </c:spPr>
            <c:extLst>
              <c:ext xmlns:c16="http://schemas.microsoft.com/office/drawing/2014/chart" uri="{C3380CC4-5D6E-409C-BE32-E72D297353CC}">
                <c16:uniqueId val="{0000002F-4C34-E94F-84D1-648C55E81F04}"/>
              </c:ext>
            </c:extLst>
          </c:dPt>
          <c:dPt>
            <c:idx val="24"/>
            <c:bubble3D val="0"/>
            <c:spPr>
              <a:solidFill>
                <a:srgbClr val="251701"/>
              </a:solidFill>
            </c:spPr>
            <c:extLst>
              <c:ext xmlns:c16="http://schemas.microsoft.com/office/drawing/2014/chart" uri="{C3380CC4-5D6E-409C-BE32-E72D297353CC}">
                <c16:uniqueId val="{00000031-4C34-E94F-84D1-648C55E81F04}"/>
              </c:ext>
            </c:extLst>
          </c:dPt>
          <c:dPt>
            <c:idx val="25"/>
            <c:bubble3D val="0"/>
            <c:spPr>
              <a:solidFill>
                <a:srgbClr val="032527"/>
              </a:solidFill>
            </c:spPr>
            <c:extLst>
              <c:ext xmlns:c16="http://schemas.microsoft.com/office/drawing/2014/chart" uri="{C3380CC4-5D6E-409C-BE32-E72D297353CC}">
                <c16:uniqueId val="{00000033-4C34-E94F-84D1-648C55E81F04}"/>
              </c:ext>
            </c:extLst>
          </c:dPt>
          <c:dPt>
            <c:idx val="26"/>
            <c:bubble3D val="0"/>
            <c:spPr>
              <a:solidFill>
                <a:srgbClr val="010D31"/>
              </a:solidFill>
            </c:spPr>
            <c:extLst>
              <c:ext xmlns:c16="http://schemas.microsoft.com/office/drawing/2014/chart" uri="{C3380CC4-5D6E-409C-BE32-E72D297353CC}">
                <c16:uniqueId val="{00000035-4C34-E94F-84D1-648C55E81F04}"/>
              </c:ext>
            </c:extLst>
          </c:dPt>
          <c:dPt>
            <c:idx val="27"/>
            <c:bubble3D val="0"/>
            <c:spPr>
              <a:solidFill>
                <a:srgbClr val="291121"/>
              </a:solidFill>
            </c:spPr>
            <c:extLst>
              <c:ext xmlns:c16="http://schemas.microsoft.com/office/drawing/2014/chart" uri="{C3380CC4-5D6E-409C-BE32-E72D297353CC}">
                <c16:uniqueId val="{00000037-4C34-E94F-84D1-648C55E81F04}"/>
              </c:ext>
            </c:extLst>
          </c:dPt>
          <c:dPt>
            <c:idx val="28"/>
            <c:bubble3D val="0"/>
            <c:spPr>
              <a:solidFill>
                <a:srgbClr val="FF1D32"/>
              </a:solidFill>
            </c:spPr>
            <c:extLst>
              <c:ext xmlns:c16="http://schemas.microsoft.com/office/drawing/2014/chart" uri="{C3380CC4-5D6E-409C-BE32-E72D297353CC}">
                <c16:uniqueId val="{00000039-4C34-E94F-84D1-648C55E81F04}"/>
              </c:ext>
            </c:extLst>
          </c:dPt>
          <c:dPt>
            <c:idx val="29"/>
            <c:bubble3D val="0"/>
            <c:spPr>
              <a:solidFill>
                <a:srgbClr val="250D0A"/>
              </a:solidFill>
            </c:spPr>
            <c:extLst>
              <c:ext xmlns:c16="http://schemas.microsoft.com/office/drawing/2014/chart" uri="{C3380CC4-5D6E-409C-BE32-E72D297353CC}">
                <c16:uniqueId val="{0000003B-4C34-E94F-84D1-648C55E81F04}"/>
              </c:ext>
            </c:extLst>
          </c:dPt>
          <c:dPt>
            <c:idx val="30"/>
            <c:bubble3D val="0"/>
            <c:spPr>
              <a:solidFill>
                <a:srgbClr val="5F3D05"/>
              </a:solidFill>
            </c:spPr>
            <c:extLst>
              <c:ext xmlns:c16="http://schemas.microsoft.com/office/drawing/2014/chart" uri="{C3380CC4-5D6E-409C-BE32-E72D297353CC}">
                <c16:uniqueId val="{0000003D-4C34-E94F-84D1-648C55E81F04}"/>
              </c:ext>
            </c:extLst>
          </c:dPt>
          <c:dPt>
            <c:idx val="31"/>
            <c:bubble3D val="0"/>
            <c:spPr>
              <a:solidFill>
                <a:srgbClr val="0B5D64"/>
              </a:solidFill>
            </c:spPr>
            <c:extLst>
              <c:ext xmlns:c16="http://schemas.microsoft.com/office/drawing/2014/chart" uri="{C3380CC4-5D6E-409C-BE32-E72D297353CC}">
                <c16:uniqueId val="{0000003F-4C34-E94F-84D1-648C55E81F04}"/>
              </c:ext>
            </c:extLst>
          </c:dPt>
          <c:dPt>
            <c:idx val="32"/>
            <c:bubble3D val="0"/>
            <c:spPr>
              <a:solidFill>
                <a:srgbClr val="01217D"/>
              </a:solidFill>
            </c:spPr>
            <c:extLst>
              <c:ext xmlns:c16="http://schemas.microsoft.com/office/drawing/2014/chart" uri="{C3380CC4-5D6E-409C-BE32-E72D297353CC}">
                <c16:uniqueId val="{00000041-4C34-E94F-84D1-648C55E81F04}"/>
              </c:ext>
            </c:extLst>
          </c:dPt>
          <c:dPt>
            <c:idx val="33"/>
            <c:bubble3D val="0"/>
            <c:spPr>
              <a:solidFill>
                <a:srgbClr val="652B55"/>
              </a:solidFill>
            </c:spPr>
            <c:extLst>
              <c:ext xmlns:c16="http://schemas.microsoft.com/office/drawing/2014/chart" uri="{C3380CC4-5D6E-409C-BE32-E72D297353CC}">
                <c16:uniqueId val="{00000043-4C34-E94F-84D1-648C55E81F04}"/>
              </c:ext>
            </c:extLst>
          </c:dPt>
          <c:cat>
            <c:strRef>
              <c:f>Analytics!$B$17:$B$50</c:f>
              <c:strCache>
                <c:ptCount val="34"/>
                <c:pt idx="0">
                  <c:v>Indonesia</c:v>
                </c:pt>
                <c:pt idx="1">
                  <c:v>Singapore</c:v>
                </c:pt>
                <c:pt idx="2">
                  <c:v>India</c:v>
                </c:pt>
                <c:pt idx="3">
                  <c:v>Vietnam</c:v>
                </c:pt>
                <c:pt idx="4">
                  <c:v>United Arab Emirates</c:v>
                </c:pt>
                <c:pt idx="5">
                  <c:v>Thailand</c:v>
                </c:pt>
                <c:pt idx="6">
                  <c:v>Philippines</c:v>
                </c:pt>
                <c:pt idx="7">
                  <c:v>Singapore, Indonesia , India</c:v>
                </c:pt>
                <c:pt idx="8">
                  <c:v>Malaysia</c:v>
                </c:pt>
                <c:pt idx="9">
                  <c:v>Romania</c:v>
                </c:pt>
                <c:pt idx="10">
                  <c:v>United Arab Emirates </c:v>
                </c:pt>
                <c:pt idx="11">
                  <c:v>US</c:v>
                </c:pt>
                <c:pt idx="12">
                  <c:v>Spain</c:v>
                </c:pt>
                <c:pt idx="13">
                  <c:v>United Kingdom</c:v>
                </c:pt>
                <c:pt idx="14">
                  <c:v>Australia-Perth</c:v>
                </c:pt>
                <c:pt idx="15">
                  <c:v>Hong Kong</c:v>
                </c:pt>
                <c:pt idx="16">
                  <c:v>Iceland</c:v>
                </c:pt>
                <c:pt idx="17">
                  <c:v>Singapore, United Kingdom</c:v>
                </c:pt>
                <c:pt idx="18">
                  <c:v>Myanmar</c:v>
                </c:pt>
                <c:pt idx="19">
                  <c:v>South Korea</c:v>
                </c:pt>
                <c:pt idx="20">
                  <c:v>Hong-Kong, China</c:v>
                </c:pt>
                <c:pt idx="21">
                  <c:v>Open to relocation (Korean nationality)</c:v>
                </c:pt>
                <c:pt idx="22">
                  <c:v>Singapore, US</c:v>
                </c:pt>
                <c:pt idx="23">
                  <c:v>Korea</c:v>
                </c:pt>
                <c:pt idx="24">
                  <c:v>USA</c:v>
                </c:pt>
                <c:pt idx="25">
                  <c:v>Australia</c:v>
                </c:pt>
                <c:pt idx="26">
                  <c:v>Laos</c:v>
                </c:pt>
                <c:pt idx="27">
                  <c:v>Uzbekistan</c:v>
                </c:pt>
                <c:pt idx="28">
                  <c:v>United States</c:v>
                </c:pt>
                <c:pt idx="29">
                  <c:v>Based in Hong Kong, but have experience with SG, MY, ID, TH, PH, VN</c:v>
                </c:pt>
                <c:pt idx="30">
                  <c:v>Israel</c:v>
                </c:pt>
                <c:pt idx="31">
                  <c:v>Poland or remote</c:v>
                </c:pt>
                <c:pt idx="32">
                  <c:v>Bangladesh</c:v>
                </c:pt>
                <c:pt idx="33">
                  <c:v>Greater China</c:v>
                </c:pt>
              </c:strCache>
            </c:strRef>
          </c:cat>
          <c:val>
            <c:numRef>
              <c:f>Analytics!$C$17:$C$50</c:f>
              <c:numCache>
                <c:formatCode>General</c:formatCode>
                <c:ptCount val="34"/>
                <c:pt idx="0">
                  <c:v>441</c:v>
                </c:pt>
                <c:pt idx="1">
                  <c:v>345</c:v>
                </c:pt>
                <c:pt idx="2">
                  <c:v>44</c:v>
                </c:pt>
                <c:pt idx="3">
                  <c:v>4</c:v>
                </c:pt>
                <c:pt idx="4">
                  <c:v>2</c:v>
                </c:pt>
                <c:pt idx="5">
                  <c:v>22</c:v>
                </c:pt>
                <c:pt idx="6">
                  <c:v>20</c:v>
                </c:pt>
                <c:pt idx="7">
                  <c:v>1</c:v>
                </c:pt>
                <c:pt idx="8">
                  <c:v>75</c:v>
                </c:pt>
                <c:pt idx="9">
                  <c:v>1</c:v>
                </c:pt>
                <c:pt idx="10">
                  <c:v>1</c:v>
                </c:pt>
                <c:pt idx="11">
                  <c:v>2</c:v>
                </c:pt>
                <c:pt idx="12">
                  <c:v>2</c:v>
                </c:pt>
                <c:pt idx="13">
                  <c:v>5</c:v>
                </c:pt>
                <c:pt idx="14">
                  <c:v>1</c:v>
                </c:pt>
                <c:pt idx="15">
                  <c:v>3</c:v>
                </c:pt>
                <c:pt idx="16">
                  <c:v>1</c:v>
                </c:pt>
                <c:pt idx="17">
                  <c:v>1</c:v>
                </c:pt>
                <c:pt idx="18">
                  <c:v>1</c:v>
                </c:pt>
                <c:pt idx="19">
                  <c:v>1</c:v>
                </c:pt>
                <c:pt idx="20">
                  <c:v>1</c:v>
                </c:pt>
                <c:pt idx="21">
                  <c:v>1</c:v>
                </c:pt>
                <c:pt idx="22">
                  <c:v>1</c:v>
                </c:pt>
                <c:pt idx="23">
                  <c:v>1</c:v>
                </c:pt>
                <c:pt idx="24">
                  <c:v>4</c:v>
                </c:pt>
                <c:pt idx="25">
                  <c:v>1</c:v>
                </c:pt>
                <c:pt idx="26">
                  <c:v>1</c:v>
                </c:pt>
                <c:pt idx="27">
                  <c:v>1</c:v>
                </c:pt>
                <c:pt idx="28">
                  <c:v>5</c:v>
                </c:pt>
                <c:pt idx="29">
                  <c:v>1</c:v>
                </c:pt>
                <c:pt idx="30">
                  <c:v>1</c:v>
                </c:pt>
                <c:pt idx="31">
                  <c:v>1</c:v>
                </c:pt>
              </c:numCache>
            </c:numRef>
          </c:val>
          <c:extLst>
            <c:ext xmlns:c16="http://schemas.microsoft.com/office/drawing/2014/chart" uri="{C3380CC4-5D6E-409C-BE32-E72D297353CC}">
              <c16:uniqueId val="{00000044-4C34-E94F-84D1-648C55E81F0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a:t>"What are you looking for next" Count</a:t>
            </a:r>
          </a:p>
        </c:rich>
      </c:tx>
      <c:overlay val="0"/>
    </c:title>
    <c:autoTitleDeleted val="0"/>
    <c:plotArea>
      <c:layout/>
      <c:pieChart>
        <c:varyColors val="1"/>
        <c:ser>
          <c:idx val="0"/>
          <c:order val="0"/>
          <c:tx>
            <c:strRef>
              <c:f>Analytics!$O$3</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2880-8D4E-9A43-0BB990BFAA7D}"/>
              </c:ext>
            </c:extLst>
          </c:dPt>
          <c:dPt>
            <c:idx val="1"/>
            <c:bubble3D val="0"/>
            <c:spPr>
              <a:solidFill>
                <a:srgbClr val="EA4335"/>
              </a:solidFill>
            </c:spPr>
            <c:extLst>
              <c:ext xmlns:c16="http://schemas.microsoft.com/office/drawing/2014/chart" uri="{C3380CC4-5D6E-409C-BE32-E72D297353CC}">
                <c16:uniqueId val="{00000003-2880-8D4E-9A43-0BB990BFAA7D}"/>
              </c:ext>
            </c:extLst>
          </c:dPt>
          <c:dPt>
            <c:idx val="2"/>
            <c:bubble3D val="0"/>
            <c:spPr>
              <a:solidFill>
                <a:srgbClr val="FBBC04"/>
              </a:solidFill>
            </c:spPr>
            <c:extLst>
              <c:ext xmlns:c16="http://schemas.microsoft.com/office/drawing/2014/chart" uri="{C3380CC4-5D6E-409C-BE32-E72D297353CC}">
                <c16:uniqueId val="{00000005-2880-8D4E-9A43-0BB990BFAA7D}"/>
              </c:ext>
            </c:extLst>
          </c:dPt>
          <c:dPt>
            <c:idx val="3"/>
            <c:bubble3D val="0"/>
            <c:extLst>
              <c:ext xmlns:c16="http://schemas.microsoft.com/office/drawing/2014/chart" uri="{C3380CC4-5D6E-409C-BE32-E72D297353CC}">
                <c16:uniqueId val="{00000006-2880-8D4E-9A43-0BB990BFAA7D}"/>
              </c:ext>
            </c:extLst>
          </c:dPt>
          <c:cat>
            <c:strRef>
              <c:f>Analytics!$N$4:$N$7</c:f>
              <c:strCache>
                <c:ptCount val="3"/>
                <c:pt idx="0">
                  <c:v>Full-time</c:v>
                </c:pt>
                <c:pt idx="1">
                  <c:v>Consulting</c:v>
                </c:pt>
                <c:pt idx="2">
                  <c:v>Full-time, open to consulting</c:v>
                </c:pt>
              </c:strCache>
            </c:strRef>
          </c:cat>
          <c:val>
            <c:numRef>
              <c:f>Analytics!$O$4:$O$7</c:f>
              <c:numCache>
                <c:formatCode>General</c:formatCode>
                <c:ptCount val="4"/>
                <c:pt idx="0">
                  <c:v>437</c:v>
                </c:pt>
                <c:pt idx="1">
                  <c:v>8</c:v>
                </c:pt>
                <c:pt idx="2">
                  <c:v>208</c:v>
                </c:pt>
              </c:numCache>
            </c:numRef>
          </c:val>
          <c:extLst>
            <c:ext xmlns:c16="http://schemas.microsoft.com/office/drawing/2014/chart" uri="{C3380CC4-5D6E-409C-BE32-E72D297353CC}">
              <c16:uniqueId val="{00000007-2880-8D4E-9A43-0BB990BFAA7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a:t>Are you willing to relocate? Count</a:t>
            </a:r>
          </a:p>
        </c:rich>
      </c:tx>
      <c:overlay val="0"/>
    </c:title>
    <c:autoTitleDeleted val="0"/>
    <c:plotArea>
      <c:layout/>
      <c:pieChart>
        <c:varyColors val="1"/>
        <c:ser>
          <c:idx val="0"/>
          <c:order val="0"/>
          <c:tx>
            <c:strRef>
              <c:f>Analytics!$O$18</c:f>
              <c:strCache>
                <c:ptCount val="1"/>
                <c:pt idx="0">
                  <c:v>Count</c:v>
                </c:pt>
              </c:strCache>
            </c:strRef>
          </c:tx>
          <c:dPt>
            <c:idx val="0"/>
            <c:bubble3D val="0"/>
            <c:spPr>
              <a:solidFill>
                <a:srgbClr val="4285F4"/>
              </a:solidFill>
            </c:spPr>
            <c:extLst>
              <c:ext xmlns:c16="http://schemas.microsoft.com/office/drawing/2014/chart" uri="{C3380CC4-5D6E-409C-BE32-E72D297353CC}">
                <c16:uniqueId val="{00000001-EFDC-A144-9134-57165ED88C13}"/>
              </c:ext>
            </c:extLst>
          </c:dPt>
          <c:dPt>
            <c:idx val="1"/>
            <c:bubble3D val="0"/>
            <c:spPr>
              <a:solidFill>
                <a:srgbClr val="EA4335"/>
              </a:solidFill>
            </c:spPr>
            <c:extLst>
              <c:ext xmlns:c16="http://schemas.microsoft.com/office/drawing/2014/chart" uri="{C3380CC4-5D6E-409C-BE32-E72D297353CC}">
                <c16:uniqueId val="{00000003-EFDC-A144-9134-57165ED88C13}"/>
              </c:ext>
            </c:extLst>
          </c:dPt>
          <c:cat>
            <c:strRef>
              <c:f>Analytics!$N$19:$N$20</c:f>
              <c:strCache>
                <c:ptCount val="2"/>
                <c:pt idx="0">
                  <c:v>Yes</c:v>
                </c:pt>
                <c:pt idx="1">
                  <c:v>No</c:v>
                </c:pt>
              </c:strCache>
            </c:strRef>
          </c:cat>
          <c:val>
            <c:numRef>
              <c:f>Analytics!$O$19:$O$20</c:f>
              <c:numCache>
                <c:formatCode>General</c:formatCode>
                <c:ptCount val="2"/>
                <c:pt idx="0">
                  <c:v>649</c:v>
                </c:pt>
                <c:pt idx="1">
                  <c:v>304</c:v>
                </c:pt>
              </c:numCache>
            </c:numRef>
          </c:val>
          <c:extLst>
            <c:ext xmlns:c16="http://schemas.microsoft.com/office/drawing/2014/chart" uri="{C3380CC4-5D6E-409C-BE32-E72D297353CC}">
              <c16:uniqueId val="{00000004-EFDC-A144-9134-57165ED88C1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D"/>
              <a:t>Talent Posting vs Time</a:t>
            </a:r>
          </a:p>
        </c:rich>
      </c:tx>
      <c:overlay val="0"/>
    </c:title>
    <c:autoTitleDeleted val="0"/>
    <c:plotArea>
      <c:layout/>
      <c:areaChart>
        <c:grouping val="standard"/>
        <c:varyColors val="1"/>
        <c:ser>
          <c:idx val="0"/>
          <c:order val="0"/>
          <c:spPr>
            <a:solidFill>
              <a:schemeClr val="accent1">
                <a:alpha val="30000"/>
              </a:schemeClr>
            </a:solidFill>
            <a:ln w="19050" cmpd="sng">
              <a:solidFill>
                <a:srgbClr val="4285F4"/>
              </a:solidFill>
            </a:ln>
          </c:spPr>
          <c:cat>
            <c:strRef>
              <c:f>Analytics!$AD$3:$AD$26</c:f>
              <c:strCache>
                <c:ptCount val="24"/>
                <c:pt idx="0">
                  <c:v>3/28/2020</c:v>
                </c:pt>
                <c:pt idx="1">
                  <c:v>4/1/2020</c:v>
                </c:pt>
                <c:pt idx="2">
                  <c:v>#REF!</c:v>
                </c:pt>
                <c:pt idx="3">
                  <c:v>4/2/2020</c:v>
                </c:pt>
                <c:pt idx="5">
                  <c:v>4/3/2020</c:v>
                </c:pt>
                <c:pt idx="6">
                  <c:v>4/4/2020</c:v>
                </c:pt>
                <c:pt idx="7">
                  <c:v>4/5/2020</c:v>
                </c:pt>
                <c:pt idx="8">
                  <c:v>4/6/2020</c:v>
                </c:pt>
                <c:pt idx="9">
                  <c:v>4/7/2020</c:v>
                </c:pt>
                <c:pt idx="10">
                  <c:v>4/8/2020</c:v>
                </c:pt>
                <c:pt idx="11">
                  <c:v>4/9/2020</c:v>
                </c:pt>
                <c:pt idx="12">
                  <c:v>4/10/2020</c:v>
                </c:pt>
                <c:pt idx="13">
                  <c:v>4/11/2020</c:v>
                </c:pt>
                <c:pt idx="14">
                  <c:v>4/12/2020</c:v>
                </c:pt>
                <c:pt idx="15">
                  <c:v>4/13/2020</c:v>
                </c:pt>
                <c:pt idx="16">
                  <c:v>4/14/2020</c:v>
                </c:pt>
                <c:pt idx="17">
                  <c:v>4/15/2020</c:v>
                </c:pt>
                <c:pt idx="18">
                  <c:v>4/16/2020</c:v>
                </c:pt>
                <c:pt idx="19">
                  <c:v>4/17/2020</c:v>
                </c:pt>
                <c:pt idx="20">
                  <c:v>4/18/2020</c:v>
                </c:pt>
                <c:pt idx="21">
                  <c:v>4/19/2020</c:v>
                </c:pt>
                <c:pt idx="22">
                  <c:v>4/20/2020</c:v>
                </c:pt>
                <c:pt idx="23">
                  <c:v>4/21/2020</c:v>
                </c:pt>
              </c:strCache>
            </c:strRef>
          </c:cat>
          <c:val>
            <c:numRef>
              <c:f>Analytics!$AE$3:$AE$26</c:f>
              <c:numCache>
                <c:formatCode>General</c:formatCode>
                <c:ptCount val="24"/>
                <c:pt idx="0">
                  <c:v>1</c:v>
                </c:pt>
                <c:pt idx="1">
                  <c:v>51</c:v>
                </c:pt>
                <c:pt idx="2">
                  <c:v>12</c:v>
                </c:pt>
                <c:pt idx="3">
                  <c:v>53</c:v>
                </c:pt>
                <c:pt idx="4">
                  <c:v>1047578</c:v>
                </c:pt>
                <c:pt idx="5">
                  <c:v>38</c:v>
                </c:pt>
                <c:pt idx="6">
                  <c:v>29</c:v>
                </c:pt>
                <c:pt idx="7">
                  <c:v>22</c:v>
                </c:pt>
                <c:pt idx="8">
                  <c:v>59</c:v>
                </c:pt>
                <c:pt idx="9">
                  <c:v>81</c:v>
                </c:pt>
                <c:pt idx="10">
                  <c:v>54</c:v>
                </c:pt>
                <c:pt idx="11">
                  <c:v>48</c:v>
                </c:pt>
                <c:pt idx="12">
                  <c:v>19</c:v>
                </c:pt>
                <c:pt idx="13">
                  <c:v>14</c:v>
                </c:pt>
                <c:pt idx="14">
                  <c:v>17</c:v>
                </c:pt>
                <c:pt idx="15">
                  <c:v>40</c:v>
                </c:pt>
                <c:pt idx="16">
                  <c:v>21</c:v>
                </c:pt>
                <c:pt idx="17">
                  <c:v>49</c:v>
                </c:pt>
                <c:pt idx="18">
                  <c:v>28</c:v>
                </c:pt>
                <c:pt idx="19">
                  <c:v>22</c:v>
                </c:pt>
                <c:pt idx="20">
                  <c:v>10</c:v>
                </c:pt>
                <c:pt idx="21">
                  <c:v>10</c:v>
                </c:pt>
                <c:pt idx="22">
                  <c:v>19</c:v>
                </c:pt>
                <c:pt idx="23">
                  <c:v>21</c:v>
                </c:pt>
              </c:numCache>
            </c:numRef>
          </c:val>
          <c:extLst>
            <c:ext xmlns:c16="http://schemas.microsoft.com/office/drawing/2014/chart" uri="{C3380CC4-5D6E-409C-BE32-E72D297353CC}">
              <c16:uniqueId val="{00000000-5ADD-3E4B-B093-FBDB398B37F1}"/>
            </c:ext>
          </c:extLst>
        </c:ser>
        <c:dLbls>
          <c:showLegendKey val="0"/>
          <c:showVal val="0"/>
          <c:showCatName val="0"/>
          <c:showSerName val="0"/>
          <c:showPercent val="0"/>
          <c:showBubbleSize val="0"/>
        </c:dLbls>
        <c:axId val="190948330"/>
        <c:axId val="1758780260"/>
      </c:areaChart>
      <c:catAx>
        <c:axId val="190948330"/>
        <c:scaling>
          <c:orientation val="minMax"/>
        </c:scaling>
        <c:delete val="0"/>
        <c:axPos val="b"/>
        <c:title>
          <c:tx>
            <c:rich>
              <a:bodyPr/>
              <a:lstStyle/>
              <a:p>
                <a:pPr lvl="0">
                  <a:defRPr b="0">
                    <a:solidFill>
                      <a:srgbClr val="000000"/>
                    </a:solidFill>
                    <a:latin typeface="+mn-lt"/>
                  </a:defRPr>
                </a:pPr>
                <a:r>
                  <a:rPr lang="en-ID"/>
                  <a:t>Time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8780260"/>
        <c:crosses val="autoZero"/>
        <c:auto val="1"/>
        <c:lblAlgn val="ctr"/>
        <c:lblOffset val="100"/>
        <c:noMultiLvlLbl val="1"/>
      </c:catAx>
      <c:valAx>
        <c:axId val="1758780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D"/>
                  <a:t>Talent Posting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948330"/>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0</xdr:colOff>
      <xdr:row>177</xdr:row>
      <xdr:rowOff>0</xdr:rowOff>
    </xdr:from>
    <xdr:ext cx="200025" cy="2000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542925</xdr:colOff>
      <xdr:row>0</xdr:row>
      <xdr:rowOff>200025</xdr:rowOff>
    </xdr:from>
    <xdr:ext cx="4543425" cy="28098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542925</xdr:colOff>
      <xdr:row>15</xdr:row>
      <xdr:rowOff>180975</xdr:rowOff>
    </xdr:from>
    <xdr:ext cx="4543425" cy="28098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495300</xdr:colOff>
      <xdr:row>0</xdr:row>
      <xdr:rowOff>200025</xdr:rowOff>
    </xdr:from>
    <xdr:ext cx="4543425" cy="2809875"/>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495300</xdr:colOff>
      <xdr:row>15</xdr:row>
      <xdr:rowOff>180975</xdr:rowOff>
    </xdr:from>
    <xdr:ext cx="4543425" cy="280987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32</xdr:col>
      <xdr:colOff>57150</xdr:colOff>
      <xdr:row>4</xdr:row>
      <xdr:rowOff>104775</xdr:rowOff>
    </xdr:from>
    <xdr:ext cx="5715000" cy="3533775"/>
    <xdr:graphicFrame macro="">
      <xdr:nvGraphicFramePr>
        <xdr:cNvPr id="6" name="Chart 5" title="Char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991.381433333336" refreshedVersion="6" recordCount="997" xr:uid="{00000000-000A-0000-FFFF-FFFF00000000}">
  <cacheSource type="worksheet">
    <worksheetSource ref="T3:U1000" sheet="Analytics"/>
  </cacheSource>
  <cacheFields count="2">
    <cacheField name="List of Companies" numFmtId="0">
      <sharedItems containsBlank="1" containsMixedTypes="1" containsNumber="1" containsInteger="1" minValue="2019" maxValue="2019" count="808">
        <s v="Tokobox"/>
        <s v="Spoonful Meals"/>
        <s v="SaleCycle"/>
        <s v="MyEduSolve"/>
        <s v="HOOQ"/>
        <s v="TradeGecko"/>
        <s v="BeMyGuest"/>
        <s v="Appknit"/>
        <s v="Digi-BPL"/>
        <s v="Cisco"/>
        <s v="Technopals"/>
        <s v="Clarivate Analytics"/>
        <s v="Diamond Star Consulting Joint Stock Co"/>
        <s v="GetZave.com"/>
        <s v="Maltem Consulting Group"/>
        <s v="WorkFusion"/>
        <s v="PT Bussr Technologies Indonesia"/>
        <s v="AUM Biosciences"/>
        <s v="United Channels"/>
        <s v="Pacific Liberty (Singapore) Pte Ltd"/>
        <s v="Antler"/>
        <s v="Luminaire AI Pte Ltd"/>
        <s v="90 Seconds"/>
        <s v="The Embassy of the Republic of Indonesia "/>
        <s v="Tallship Adventures Pte Ltd"/>
        <s v="KeyReply"/>
        <s v="Qazwa"/>
        <s v="Onchain Custodian "/>
        <s v="Closers.com / Mev-Rael London"/>
        <s v="IWF "/>
        <s v="BeMyGuest Pte. Ltd."/>
        <s v="Lendela"/>
        <s v="INVNT"/>
        <s v="Aptsys Technologies Pte ltd"/>
        <s v="Goodwill Advisory Services"/>
        <s v="Get My Parking"/>
        <s v="mekari"/>
        <s v="Aibono "/>
        <s v="Pandit Football"/>
        <s v="GoodhoodSG"/>
        <s v="Howlistic Life Holdings"/>
        <s v="Visenze"/>
        <s v="Menduca"/>
        <s v="Shield (https://www.shield.com)"/>
        <s v="Eames Consulting Group"/>
        <s v="Anchanto"/>
        <s v="www.FlightClaimEU.com"/>
        <s v="Boxgreen Pte Ltd"/>
        <s v="Rocket internet"/>
        <s v="Zilingo"/>
        <s v="Artefact"/>
        <s v="Zeemart"/>
        <s v="Deloitte"/>
        <s v="Telepathy Labs"/>
        <s v="Schroder Investment Management (Singapore) Ltd"/>
        <s v="Enrich social Media "/>
        <s v="AntWorks Pte Ltd"/>
        <s v="Droom International Pte. Ltd."/>
        <s v="SensorFlow"/>
        <s v="WeLab Virtual Bank"/>
        <s v="Nubela"/>
        <s v="Omnilytics"/>
        <s v="ConnectOne"/>
        <s v="Financial Alliance Pte Ltd"/>
        <s v="Unilever"/>
        <s v="shareVentures "/>
        <s v="Ayopop Technology India Pvt Ltd"/>
        <s v="Buyandship"/>
        <s v="Jualo &amp; Carro"/>
        <s v="Bank Danamon Indonesia, PT"/>
        <s v="Refinitiv"/>
        <s v="GrabJobs"/>
        <s v="Dokter Mobil"/>
        <s v="Apple Developer Academy"/>
        <s v="Johnson &amp; Johnson"/>
        <s v="Parcel Perform"/>
        <s v="PT. Sophie Bakery Indonesia"/>
        <s v="Cogs Singapore"/>
        <s v="Wassa"/>
        <s v="land transport authority"/>
        <s v="Lazada Group"/>
        <s v="PT. Phillip Futures"/>
        <s v="Universitas Gadjah Mada"/>
        <s v="Become - Rocket Internet"/>
        <s v="NodeFlair"/>
        <s v="The Smart Local Singapore"/>
        <s v="Jetstar Asia"/>
        <s v="Momentum Works (Halalnode)"/>
        <s v="Ferron Par Pharmaceuticals"/>
        <s v="Akamai Technologies"/>
        <s v="KORU FAMILY OFFICE PTE LTD"/>
        <s v="Traveloka"/>
        <s v="Wecash "/>
        <s v="Oplifi"/>
        <s v="Sanofi"/>
        <s v="XXII GROUP"/>
        <s v="Prodata Group"/>
        <s v="Verita Healthcare Group"/>
        <s v="FalconBio Pte. Ltd. "/>
        <s v="Umroh.com"/>
        <s v="Sojern"/>
        <s v="dahmakan "/>
        <s v="Tvlk"/>
        <s v="PT AMANAH UMROH HANDAL (umroh.com) "/>
        <s v="BeMyGuest Pte. Ltd"/>
        <s v="IBK Bank Indonesia"/>
        <s v="Gojek (Gopay)"/>
        <s v="PT Solusi Invest Propertindo"/>
        <s v="PT OS Selnajaya Indonesia"/>
        <s v="YukStay"/>
        <s v="Bluenest Pte Ltd"/>
        <s v="Own The Room"/>
        <s v="Kaddra"/>
        <s v="PT Jalan Terus Saja (ReCharge)"/>
        <s v="PT Hike Digital Asia"/>
        <s v="OYO"/>
        <s v="LightBlue Environmental Consulting"/>
        <s v="labster"/>
        <s v="SATS "/>
        <s v="Fundsfy"/>
        <s v="Entrepreneur First"/>
        <s v="Dompet Kilat"/>
        <s v="PT Finfleet Teknologi Indonesia"/>
        <s v="Possible WorldWide (Wunderman / WPP)"/>
        <s v="PurelyB"/>
        <s v="Traveloka (PT Trinusa Travelindo)"/>
        <s v="Vrbo (HomeAway) ― Expedia Group"/>
        <s v="Style Theory"/>
        <s v="Modana"/>
        <s v="iflix"/>
        <s v="PT. MITRA GLOBAL HOLIDAY GROUP"/>
        <s v="Lime Technologies Pvt Ltd"/>
        <s v="Club Alacarte (PT. Media Digital Alacarte)"/>
        <s v="Zeemart Pte Ltd"/>
        <s v="Stragiti "/>
        <s v="Smove Car Sharing"/>
        <s v="Bango"/>
        <s v="PT. Tunas Ridean Tbk"/>
        <s v="Enrupt"/>
        <s v="Booking.com"/>
        <s v="Tokopedia"/>
        <s v="Xplor "/>
        <s v="Aventri Event Software Pteb Ltd"/>
        <s v="Beiersdorf Indonesia"/>
        <s v="Classpass"/>
        <s v="Adira Insurance"/>
        <s v="PT Partner Impian Millenial (Schoters)"/>
        <s v="Schoters"/>
        <s v="Boogle Group"/>
        <s v="Swipe WiFi"/>
        <s v="Zurich Insurance Group"/>
        <s v="Prioriti PTE LTD/PT Prioritas Persada Indonesia"/>
        <s v="RedDoorz Indonesia"/>
        <s v="EventNook"/>
        <s v="Kumpul "/>
        <s v="EMJAC"/>
        <s v="Samsung electronic company"/>
        <s v="Skyscanner"/>
        <s v="Eatsy Technologies"/>
        <s v="Gorry Holdings"/>
        <s v="Wowoo Exchange Singapore"/>
        <s v="Dokter Sehat"/>
        <s v="Grab Financial Group (Insurance)"/>
        <s v="Digital Business Lab"/>
        <s v="iVideosmart"/>
        <s v="Gredu"/>
        <s v="FCS Computer Systems (Hospitality Tech)"/>
        <s v="Sensorflow Pte Ltd"/>
        <s v="Ibunda.id"/>
        <s v="Levi Strauss, Singapore"/>
        <s v="The F Thing"/>
        <s v="Rainmaking"/>
        <s v="OWOX BI"/>
        <s v="ASTRA Sport"/>
        <s v="Arcus Financial "/>
        <s v="Circles Life Technology"/>
        <s v="FINBOTS AI Solutions Pte "/>
        <s v="OYO Indonesia"/>
        <s v="XSEED Education Private Limited"/>
        <s v="Homecare24.id"/>
        <s v="PwC Dubai"/>
        <s v="Zenyum"/>
        <s v="PHAR Partnerships "/>
        <s v="Ekipa Agile Consultancy"/>
        <s v="IIT Kharagpur"/>
        <s v="Alpha7"/>
        <s v="Ralali.com"/>
        <s v="Creadits Pte Ltd"/>
        <s v="honestbee"/>
        <s v="Phoenix Communications"/>
        <s v="Lynk Global"/>
        <s v="Finflee Teknologi Indonesia"/>
        <s v="Circles.Life"/>
        <s v="Uber"/>
        <s v="Google Inc"/>
        <s v="Agri Teknologi Indonesia"/>
        <s v="Cashwagon Indonesia"/>
        <s v="PT Kahar Duta Sarana"/>
        <s v="SweetEscape"/>
        <s v="OxMet Technologies"/>
        <s v="TIX ID"/>
        <s v="BroSisPKU"/>
        <s v="Creadits "/>
        <s v="Funding Societies"/>
        <s v="Axinan Pte Ltd"/>
        <s v="Talent Indonesia : Indonesia Ministry of Manpower"/>
        <s v="JAWAPOSTV"/>
        <s v="Hotel Bluesky Pandurata"/>
        <s v="Vizitrip"/>
        <s v="PT RAKSASA LAJU LINTANG (RALALI)"/>
        <s v="Instant Offices"/>
        <s v="Ks Link"/>
        <s v="TORAY Singapore Water Research Center"/>
        <s v="Sembcorp Utilities "/>
        <s v="International Animal Rescue Indonesia"/>
        <s v="JW Marriott Medan"/>
        <s v="Ascend Group"/>
        <s v="Blockstack PBC"/>
        <s v="PT Sebangsa Bersama (Sebangsa Network)"/>
        <s v="PT Mid Solusi Nusantara (Mekari)"/>
        <s v="Bhineka ciria artana"/>
        <s v="OYO Thailand"/>
        <s v="Allindive"/>
        <s v="PT. Sale Stock Indonesia"/>
        <s v="PT. Media Nusantara Citra Tbk"/>
        <s v="V-Key"/>
        <s v="Revinate"/>
        <s v="Saleswhale"/>
        <s v="MAS Holdings"/>
        <s v="Massachusetts Daily Collegian"/>
        <s v="Jawapos tv Jakarta"/>
        <s v="Finteix Pte Ltd"/>
        <s v="Hubud: Coworking Space"/>
        <s v="Bappeda NTB"/>
        <s v="PT Paus Skala Teknologi (whee Indonesia)"/>
        <s v="Chab Pte Ltd "/>
        <s v="Fleischhacker Solution Indonesia"/>
        <s v="Shuga Pte Ltd "/>
        <s v="NasiBaik"/>
        <s v="Astra International- Toyota Sales Operation"/>
        <s v="PT Partner Impian Milenial (Schoters)"/>
        <s v="HijUp"/>
        <s v="QRIM Express"/>
        <s v="M17 Services"/>
        <s v="Snapcart"/>
        <s v="Clinch Labs"/>
        <s v="RefillMyBottle"/>
        <s v="Ecologes Indonesia"/>
        <s v="Salka Whale Watching"/>
        <s v="SkyMaker Technology Solutions"/>
        <s v="Natural Instinct Healing"/>
        <s v="Abata Citra Solusi"/>
        <s v="PT. Sumber Kreatif Indonesia"/>
        <s v="Local Realestat Company"/>
        <s v="Fintech"/>
        <s v="Freelance"/>
        <s v="foodspot"/>
        <s v="Unsircle"/>
        <s v="Bersatu Sukses Group "/>
        <s v="wg group"/>
        <s v="Helptheworld.io"/>
        <s v="NatWest Markets"/>
        <s v="Babel Pte Ltd"/>
        <s v="ZUZU Hospitality"/>
        <s v="DigitalAPICraft"/>
        <s v="Kinniku Studio"/>
        <s v="PT Raksasa Laju Lintang (Ralali.com)"/>
        <s v="GPJ"/>
        <s v="Investree"/>
        <s v="Prioriti Pte. Ltd"/>
        <s v="Meridin Properties"/>
        <s v="TYSM Indonesia"/>
        <s v="PT EKRUT TEKNOLOGI PASIFIK"/>
        <s v="PT. Sandabi Indah Lestari"/>
        <s v="Bareksa Prioritas"/>
        <s v="Jobworks "/>
        <s v="Challenger Inc."/>
        <s v="ZEN Rooms"/>
        <s v="Moon Rabbit"/>
        <s v="HJ Production Asia"/>
        <s v="SC Ventures"/>
        <s v="Bizzy"/>
        <s v="Nodeflux"/>
        <s v="Iris Worldwide"/>
        <s v="RISE"/>
        <s v="MAM EO Jakarta"/>
        <s v="PT Mata Laba Laba (custom.com.hk/dokter.my)"/>
        <s v="Julius Baer &amp; Co Ltd Singapore "/>
        <s v="WhatAdver Media"/>
        <s v="Seekify pte ltd(Sequoia backed) "/>
        <s v="Seekify Pte Ltd"/>
        <s v="Fyde Inc"/>
        <s v="Digitaraya"/>
        <s v="Stats Perform"/>
        <s v="Capillary Technologies"/>
        <s v="Bitread Publishing"/>
        <s v="99.co"/>
        <s v="Style Theory "/>
        <s v="Noodle Factory"/>
        <s v="Prime HR"/>
        <s v="CHCLab Solutions"/>
        <s v="Skift"/>
        <s v="Helmad"/>
        <s v="IBM"/>
        <s v="Holiday Inn Express Jakarta Matraman"/>
        <s v="Traveloka / TripAdvisor"/>
        <s v="Autobnb"/>
        <s v="Dimopay (Traveloka Group)"/>
        <s v="Eatsyapp"/>
        <s v="ELVA Group"/>
        <s v="Susi Air"/>
        <s v="TRAVLR"/>
        <s v="SweetEscape.com , bridestory.com"/>
        <s v="SweetEscape "/>
        <s v="PT TRAVLR GUIDE INDONESIA"/>
        <s v="pigijo.com"/>
        <s v="PT KOZY Manajemen"/>
        <s v="Red Otter Pte Ltd.  "/>
        <s v="SWAT Mobility Pte. Ltd."/>
        <s v="Sojern "/>
        <s v="Jualo"/>
        <s v="PT. Media Nusantara Citra Tbk."/>
        <s v="Dahmakan"/>
        <s v="MGF sourcing "/>
        <s v="Big Bad Wolf Books Sdn Bhd"/>
        <s v="PT. Prisma DIgital Media"/>
        <s v="PT Adya Eduka Dinamika (EF) "/>
        <s v="EBlinq Fashion (M) Sdn Bhd"/>
        <s v="Patsnap"/>
        <s v="ReCharge Indonesia"/>
        <s v="PT TRISINAR INDOPRATAMA"/>
        <s v="IT. Business Solution Sdn. Bhd"/>
        <s v="ABEJA"/>
        <s v="POPLOOK Sdn Bhd"/>
        <s v="Kind Kones (Raisin the Roof Sdn Bhd)"/>
        <s v="Kind Kones"/>
        <s v="PT. Rightledger indonesia"/>
        <s v="Kenanga Investors Berhad"/>
        <s v="Certis Cisco"/>
        <s v="Quadrature Capital"/>
        <s v="Market Pulse"/>
        <s v="Perx Technologies"/>
        <s v="Watcha"/>
        <s v="Cermati.com"/>
        <s v="Xen Technologies"/>
        <s v="Expedia Group"/>
        <s v="vsource.io"/>
        <s v="PT MNC Land Tbk"/>
        <s v="HUBUD Coworking Space"/>
        <s v="Ayannah"/>
        <s v="CIMB Niaga Finance"/>
        <s v="PT amalan International Indonesia"/>
        <s v="MD Pictures"/>
        <s v="EKRUT"/>
        <s v="CoHive , Jakarta"/>
        <s v="Purwadhika Startup &amp; Coding School"/>
        <s v="Beam Mobility Australia Pty Ltd"/>
        <s v="BlinQ Fashion"/>
        <s v="BlueMart Indonesia "/>
        <s v="Vivabuy (Cross Border Ecommerce)"/>
        <s v="FORE COFFEE"/>
        <s v="Ninenineone Network"/>
        <s v="IRiver Asia"/>
        <s v="Pt Smart tbk"/>
        <s v="Marimakan"/>
        <s v="Kompis Creative Solutions"/>
        <s v="MSC CRUISE LINE"/>
        <s v="PT Bank Maybank Indonesia"/>
        <s v="Elliot Communications/ProsPR Indonesia"/>
        <s v="Deltamas S.I.M (Authorized Toyota Dealership)"/>
        <s v="Stg"/>
        <s v="Java anugerah"/>
        <s v="Caterspot"/>
        <s v="FOREFRONT International"/>
        <s v="prestisa.com"/>
        <s v="PT Solusi Energi Terbarukan"/>
        <s v="International Finance Corporation"/>
        <s v="Grab"/>
        <s v="Genospace"/>
        <s v="Finquest "/>
        <s v="Amalan International Pte. Ltd."/>
        <s v="Home Credit Indonesia "/>
        <s v="HUYA"/>
        <s v="Kamar Keluarga"/>
        <s v="atta Inc"/>
        <s v="A/Nalendro"/>
        <s v="MakerLab"/>
        <s v="MEKARI (PT Mid Solusi Nusantara)"/>
        <s v="PT Evi Asia Tenggara"/>
        <s v="DTS kominfo"/>
        <s v="Arcade Indonesia"/>
        <s v="PT. Hacktivate Teknologi Indonesia"/>
        <s v="Cohive"/>
        <s v="Big Bad wolf"/>
        <s v="PT. Paragon Pratama Teknologi"/>
        <s v="PT Inti Citra Agung"/>
        <s v="SIAP Social Innovation.id"/>
        <n v="2019"/>
        <s v="PT.Satyamitra Surya Perkasa"/>
        <s v="Shangri La Barr Al Jissah"/>
        <s v="Beam"/>
        <s v="Procter &amp; Gamble (P&amp;G)"/>
        <s v="KGiSL"/>
        <s v="MDIS Holdings (Singapore)"/>
        <s v="Singapore Telecommunications"/>
        <s v="Disrupto Society"/>
        <s v="PT MOKA TEKNOLOGI INDONESIA"/>
        <s v="Landor "/>
        <s v="The Keranjang Bali"/>
        <s v="WISSCOM AEROSPACE LIMITED"/>
        <s v="MODANA.ID (PT Karuna Karyananta Nusantara)"/>
        <s v="Monash University"/>
        <s v="FIITJEE"/>
        <s v="Tata Communications Limited"/>
        <s v="HMD Global, New chapter of Nokia Android smartphone"/>
        <s v="Branch Metrics"/>
        <s v="IDStar"/>
        <s v="Finquest."/>
        <s v="Airyrooms"/>
        <s v="X0PA Ai"/>
        <s v="Go Online Destination (Pegipegi)"/>
        <s v="Tyroola"/>
        <s v="ISMAYA GROUP"/>
        <s v="LivePerson"/>
        <s v="Eezee Pte Ltd"/>
        <s v="Modana - Indonesia"/>
        <s v="Live In Private Limited Company"/>
        <s v="Maria Health"/>
        <s v="Aura Esport"/>
        <s v="Hacktiv8"/>
        <s v="Insanirator"/>
        <s v="Big Bad Wolf Books"/>
        <s v="Credit Agricole CIB"/>
        <s v="Pawoon POS"/>
        <s v="Impactgroup"/>
        <s v="Japan Tobacco International "/>
        <s v="GOTOUZBEKISTAN"/>
        <s v="PT. Nodeflux Teknologi Indonesia"/>
        <s v="Mekari PT Mid Solusi Nusantara"/>
        <s v="Global CxO"/>
        <s v="PT. Indoprof Motor Sejati"/>
        <s v="C3.ai"/>
        <s v="Freelance Consultant"/>
        <s v="Moneysmart.id (PT. Loangarage Indonesia)"/>
        <s v="Kuaishou"/>
        <s v="PT Subang Autocomp Indonesa (Yazaki Corporation)"/>
        <s v="Julo"/>
        <s v="Elliot Communications"/>
        <s v="Dimo Pay (Traveloka Group) "/>
        <s v="PT Akulaku Finance Indonesia"/>
        <s v="Dimo Pay Indonesia"/>
        <s v="AI Love Venture"/>
        <s v="Wujudkan Indonesia"/>
        <s v="Qwikfab"/>
        <s v="Smove System Pte Ltd"/>
        <s v="PT. Indopay Merchant Services"/>
        <s v="Metro Central Mall Inc. &amp; MS Department Store Inc."/>
        <s v="KoinWorks"/>
        <s v="Mnubo"/>
        <s v="Pegipegi"/>
        <s v="Mobilkamu.com"/>
        <s v="GoQuo"/>
        <s v="The Light Agency"/>
        <s v="DataOn"/>
        <s v="HeyBryan (Prev. Sony PlayStation)"/>
        <s v="Bespokify (fashion-tech)"/>
        <s v="CIAYO"/>
        <s v="Blue Mirror Pte Ltd"/>
        <s v="PT WIN ELECTROINDO HEAT"/>
        <s v="PT. Indodev Niaga Internet"/>
        <s v="PT. Lunaria Annua Teknologi"/>
        <s v="Hostel Hunting Sdn Bhd"/>
        <s v="Q8 Pte Ltd"/>
        <s v="Airy Indonesia"/>
        <s v="PT Bukit Makmur Mandiri Utama"/>
        <s v="TTwoWeb"/>
        <s v="Bounce"/>
        <s v="iSeller"/>
        <s v="Populus Financial Group"/>
        <s v="Advance AI"/>
        <s v="HYPE Asia"/>
        <s v="PT Nodeflux Teknologi Indonesia"/>
        <s v="LR-Group"/>
        <s v="FreeState"/>
        <s v="Race Academy "/>
        <s v="IBM Indonesia"/>
        <s v="NTUC Foodfare"/>
        <s v="Polarr"/>
        <s v="PT.OYO Rooms Indonesia"/>
        <s v="TotallyAwesome"/>
        <s v="Target Media Nusantara"/>
        <s v="Fuse Teknologi"/>
        <s v="United Test &amp; Assembly Corporation "/>
        <s v="Urbanhire"/>
        <s v="PT. Panen Lestari Indonesia"/>
        <s v="United test and Assembly Corporation "/>
        <s v="Endeavor standard"/>
        <s v="DCONFIG"/>
        <s v="4xlabs"/>
        <s v="Moka"/>
        <s v="Chiyoda Singapore"/>
        <s v="KoinWorks - PT. Lunaria Annua Teknologi"/>
        <s v="Dathappy"/>
        <s v="UDrive Media Sdn Bhd"/>
        <s v="Urbanhire (PT Urban Teknologi Digital)"/>
        <s v="aCommerce Indonesia"/>
        <s v="Gojek"/>
        <s v="Ralali"/>
        <s v="Mekar (PT. Mekar Investama Sampoerna)"/>
        <s v="PT OYO INDONESIA"/>
        <s v="BCI Asia"/>
        <s v="Jones Lang LaSalle"/>
        <s v="PT Ekrut Teknologi Utama"/>
        <s v="RELX Technology"/>
        <s v="Direktorat Logistik Pusat Administrasi Universitas Indonesia"/>
        <s v="TravelStop"/>
        <s v="Fashion Investment Group"/>
        <s v="PT STOQO Teknologi Indonesia"/>
        <s v="PT HIBA UTAMA"/>
        <s v="PT. ULTIMA ASIA TEKNOLOGI (Formerly known as Micros - Fidelio Indonesia)"/>
        <s v="Weather and Climate Prediction Laboratory ITB "/>
        <s v="Brightline Interactive"/>
        <s v="Galvanize"/>
        <s v="Inception Technology Co., Ltd."/>
        <s v="Prive Technologies"/>
        <s v="William Russell"/>
        <s v="OnlinePajak"/>
        <s v="ethiks agents"/>
        <s v="AXA Insurance Pte Ltd"/>
        <s v="Lazada"/>
        <s v="PT. Hello Kreasi Indonesia"/>
        <s v="Zimplistic"/>
        <s v="Prefer not to disclose"/>
        <s v="loopup.com"/>
        <s v="Huge"/>
        <s v="ZEN eServices Pte Ltd"/>
        <s v="Thales DIS (Singapore) Pte Ltd"/>
        <s v="PT Bank Negara Indonesia (Persero) Tbk."/>
        <s v="Adara"/>
        <s v="NETS"/>
        <s v="Local Champions Indonesia"/>
        <s v="Mynt (Globe Fintech Innovations)"/>
        <s v="Enapter"/>
        <s v="Polypixel Studios"/>
        <s v="PHAR Partnerships Pte Ltd"/>
        <s v="Dwidaya Nusantara Convex"/>
        <s v="CT Corp Digital"/>
        <s v="PT. Transportasi Jakarta"/>
        <s v="ALAX.IO Subsidiary of DECENT.CH"/>
        <s v="Constellation Agency"/>
        <s v="Epsilon"/>
        <s v="Idigiline"/>
        <s v="DataRobot"/>
        <s v="SMARTE CARTE SINGAPORE PTE LTD "/>
        <s v="Samala Hotel"/>
        <s v="CIAYO Comics"/>
        <s v="Kapronasia"/>
        <s v="University of Oxford"/>
        <s v="AccResources Corporate Services PLT"/>
        <s v="Exotel"/>
        <s v="DXC Technology"/>
        <s v="Sojern Inc"/>
        <s v="Klub"/>
        <s v="Agency for Science, Technology and Research (A*STAR)"/>
        <s v="untuk perusahaan baru memberi yang lebih baik kepada perusahaan bekerja keras, bertanggungjawab  dengan pekerjaan dan mengembangkan skil yang saya punya untuk kemajuan perusahaan"/>
        <s v="Foomee Science Intelligence "/>
        <s v="Meltwater"/>
        <s v="ernst &amp; young solutions LLP"/>
        <s v="AirAsia"/>
        <s v="Hmlet"/>
        <s v="Sweet Escape"/>
        <s v="SMRT"/>
        <s v="Power Mining"/>
        <s v="Seekmi"/>
        <s v="GrabJobs Pte Ltd"/>
        <s v="Tech Mahindra Limited"/>
        <s v="Lendela "/>
        <s v="Proficio Consulting"/>
        <s v="www.lightful.com"/>
        <s v="Resources Global Professionals (Singapore) Ptd Ltd (RGP)"/>
        <s v="Hara Token"/>
        <s v="Universitas Pancasila"/>
        <s v="Young Founders School"/>
        <s v="Boston Consulting Group"/>
        <s v="Unilever Indonesia"/>
        <s v="PT. Mitra Adiperkasa Tbk"/>
        <s v="Hellogold Sdn Bhd"/>
        <s v="Safeguards G4S SDN BHD"/>
        <s v="Glints Indoensia"/>
        <s v="PT.Visionet Data International"/>
        <s v="Piktochart Sdn Bhd"/>
        <s v="Tokopedia, PwC"/>
        <s v="trivago"/>
        <s v="Bizzy Indonesia"/>
        <s v="Klook"/>
        <s v="Amaris Consulting (Malaysia)"/>
        <s v="Marimakan (PT. Kuliner Awan Bangsa)"/>
        <s v="Red Bull Product of Europe"/>
        <s v="Ultravoucher"/>
        <s v="Minor International"/>
        <s v="Silberline"/>
        <s v="PT. Otten Coffee Indonesia"/>
        <s v="Rhenus Logistics Asia Pacific Pte Ltd"/>
        <s v="Stylenook"/>
        <s v="IMURAL.ID"/>
        <s v="Bukalapak"/>
        <s v="CLOUDERA"/>
        <s v="PT. Jaya Obayashi"/>
        <s v="Zave Pte Ltd"/>
        <s v="Home Credit Indonesia"/>
        <s v="Hmlet Central Pte Ltd"/>
        <s v="PT. Tennova Cipta Inatech (Pomona)"/>
        <s v="Motiprins"/>
        <s v="Savonix Pte Ltd"/>
        <s v="Deliveroo"/>
        <s v="PT Pasona HR Indonesia"/>
        <s v="Publicis Groupe "/>
        <s v="essilor luxottica"/>
        <s v="ZONE ARCHITECT "/>
        <s v="Fullerton Health Indonesia"/>
        <s v="Cialfo"/>
        <s v="EY"/>
        <s v="Multi Nasional Company"/>
        <s v="Deliveroo "/>
        <s v="Maestro in Training"/>
        <s v="Matahari.com"/>
        <s v="SenSING Pte Ltd"/>
        <s v="Airbnb"/>
        <s v="Airbnb "/>
        <s v="Protenga"/>
        <s v="Savonix Inc"/>
        <s v="Inspire-Tech Pte Ltd"/>
        <s v="Shiseido Travel Retail Asia"/>
        <s v="PSA"/>
        <s v="Cohive (PT Evi Asia Tenggara)"/>
        <s v="UM"/>
        <s v="Coworking Space at Cohive Space"/>
        <s v="PT Tennova Cipta Inatech"/>
        <s v="Boost International Pte Ltd"/>
        <s v="Paktor Pte Ltd."/>
        <s v="Horangi Cybersecurity"/>
        <s v="PT LG ELECTRONICS INDONESIA"/>
        <s v="CreativeDrive"/>
        <s v="Thousand Sunny PIK"/>
        <s v="Aspire SEA"/>
        <s v="Christina's"/>
        <s v="Travelodge Hotels Asia"/>
        <s v="New Chien Te Hang Co Ltd"/>
        <s v="SeenThis"/>
        <s v="OxfordCaps Pte Ltd"/>
        <s v="OCI"/>
        <s v="Honeywell"/>
        <s v="DB Schenker"/>
        <s v="Adgo"/>
        <s v="MyMy and Workana"/>
        <s v="Shemaroo Entertainment Ltd"/>
        <s v="Panipurizz"/>
        <s v="Pro-Data LGI"/>
        <s v="SEEK Asia"/>
        <s v="Marriott International - The Westin Jakarta"/>
        <s v="Triptease"/>
        <s v="ipaymy"/>
        <s v="DancindMind (Surge'19, Sequoia Capital)"/>
        <s v="Shangri-La Group Hotels &amp; Resorts "/>
        <s v="Hitachi Consulting"/>
        <s v="VMw"/>
        <s v="MetroGuild"/>
        <s v="Leisure Pass Group"/>
        <s v="Pi techniques pvt ltd"/>
        <s v="eBay"/>
        <s v="Tiket.com"/>
        <s v="Google"/>
        <s v="PT Akulaku Silvrr Indonesia"/>
        <s v="Rolltek engineering works llc"/>
        <s v="Artefact "/>
        <s v="Duff &amp; Phelps India "/>
        <s v="LotusFlare"/>
        <s v="Lalamove "/>
        <s v="Traveloka Phils. Inc."/>
        <s v="C27"/>
        <s v="Traveloka Philippines Inc."/>
        <s v="MicroSourcing"/>
        <s v="Lintas Media Danawa"/>
        <s v="Blowfish Digital"/>
        <s v="Red Bull"/>
        <s v="Tripadvisor"/>
        <s v="Dhwani Rural Information Systems Pvt. Ltd."/>
        <s v="Kalibrr"/>
        <s v="Neuonwoods.com"/>
        <s v="Anyvision"/>
        <s v="Aspire"/>
        <s v="Lazy Eight Design"/>
        <s v="Mars &amp; Co."/>
        <s v="Terminal 1 Limited"/>
        <s v="Ola Cabs"/>
        <s v="Infosys Limited"/>
        <s v="Eniac"/>
        <s v="iVideoSmart Pte Ltd"/>
        <s v="Lendela Sdn Bhd"/>
        <s v="Ape Works Pte Ltd"/>
        <s v="Abeam Lightstream Analytics"/>
        <s v="Samsung"/>
        <s v="HeyJobs"/>
        <s v="Agoda"/>
        <s v="Sharechat"/>
        <s v="Wellbe Event Management"/>
        <s v="Techsauce Global Summit"/>
        <s v="PT Mitra Adiperkasa"/>
        <s v="HP "/>
        <s v="IVE Group"/>
        <s v="IMD Global Services"/>
        <s v="V magics business solutions"/>
        <s v="referhire.com"/>
        <s v="Texas Instruments"/>
        <s v="Worldnesia (Indonesian Business Language Training Institution)"/>
        <s v="Alorica Philippines Inc."/>
        <s v="Traveloka Philippines"/>
        <s v="MNC Bank"/>
        <s v="Second company IT"/>
        <s v="Silot"/>
        <s v="B2G Consulting"/>
        <s v="PT Smartfren Telecom"/>
        <s v="PT. Mobilkamu Group Indonesia (Mobilkamu.com)"/>
        <s v="BHP BILLITON "/>
        <s v="91springboard"/>
        <s v="PT Ezeelink Indonesia"/>
        <s v="Vrbo (Expedia Group)"/>
        <s v="EMURGO"/>
        <s v="Big Bad Wolf Book Sale"/>
        <s v="Havas Indonesia(advertising Agency)"/>
        <s v="E-Technology Centre"/>
        <s v="Nuance communications"/>
        <s v="Quilt AI"/>
        <s v="LenddoEFL"/>
        <s v="Sports Industry"/>
        <s v="PT. Extramarks Indonesia"/>
        <s v="IPG Mediabrands "/>
        <s v="IVE Singapore Pte Ltd"/>
        <s v="JP Morgan Chase"/>
        <s v="Essence"/>
        <s v="Jirnexu (RinggitPlus)"/>
        <s v="ViacomCBS"/>
        <s v="Circles Life Asia Pte Ltd"/>
        <s v="Connected Freight Pte Ltd"/>
        <s v="Hacktiv8 Indonesia"/>
        <s v="OYO Rooms Indonesia"/>
        <s v="Mitrais"/>
        <s v="Confluent, Inc."/>
        <s v="Media Group"/>
        <s v="Useget.com"/>
        <s v="Amartha Mikro Fintek"/>
        <s v="PT. Asus Technology Indonesia Batam"/>
        <s v="Larisin"/>
        <s v="Insider"/>
        <s v="BookingLokal"/>
        <s v="Prodigy Finance"/>
        <s v="Money20/20"/>
        <s v="Circus Social"/>
        <s v="GetCluey pt LTD"/>
        <s v="HTC Global services"/>
        <s v="Coca Cola Amatil Indonesia"/>
        <s v="Indosat Ooredoo"/>
        <s v="Hussell"/>
        <s v="Institute of Transport and Logistics Studies"/>
        <s v="Zalora Group"/>
        <s v="Cermati"/>
        <s v="Vokraf"/>
        <s v="WeWork"/>
        <s v="Persada Entertainment"/>
        <s v="Corto"/>
        <s v="Airbnb Singapore "/>
        <s v="CIMB Niaga Tbk"/>
        <s v="Artemis Consultant"/>
        <s v="Helochatid"/>
        <s v="Nutrifood Indonesia"/>
        <s v="LABWRKS Architect"/>
        <s v="Asia Justice and Rights "/>
        <s v="PT. Agate International"/>
        <s v="Kawan Lama Group "/>
        <s v="Micromine"/>
        <s v="Hipwee"/>
        <s v="Fluentgrid Limited"/>
        <s v="PVH Corp."/>
        <s v="Metroney &amp; PestaDiskon"/>
        <s v="Hakuhodo Network Indonesia (LOTUS:H)"/>
        <s v="Boost Media International Pte Ltd"/>
        <s v="Hakuhodo Network Indonesia"/>
        <s v="ExCo Partners / Nine Entertainment"/>
        <s v="PT Bumi Sarimas Indonesia"/>
        <s v="Janio Asia"/>
        <s v="WeLab Bank"/>
        <s v="PT. Sinergi Informatika Semen Indonesia"/>
        <s v="Taraph Technologies"/>
        <s v="Warung Pintar"/>
        <s v="JakPro JSL ITF Sunter "/>
        <s v="Grivy.com"/>
        <s v="Red Nose Foundation"/>
        <s v=""/>
        <s v="INSEAD / Neuron Mobility"/>
        <s v="Andrew Yang 2020 (US Presidential Campaign)"/>
        <s v="StubHub (former eBay subsidiary)"/>
        <s v="Brown University"/>
        <s v="Medella Cancer Cure Centre"/>
        <s v="Bussr"/>
        <s v="Attest"/>
        <s v="DBS Bank"/>
        <s v="Abakus Asia Pacific Pte Ltd"/>
        <m/>
      </sharedItems>
    </cacheField>
    <cacheField name="Count" numFmtId="0">
      <sharedItems containsSemiMixedTypes="0" containsString="0" containsNumber="1" containsInteger="1" minValue="0" maxValue="1047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n v="1"/>
  </r>
  <r>
    <x v="1"/>
    <n v="2"/>
  </r>
  <r>
    <x v="2"/>
    <n v="1"/>
  </r>
  <r>
    <x v="3"/>
    <n v="1"/>
  </r>
  <r>
    <x v="4"/>
    <n v="104"/>
  </r>
  <r>
    <x v="5"/>
    <n v="1"/>
  </r>
  <r>
    <x v="6"/>
    <n v="1"/>
  </r>
  <r>
    <x v="7"/>
    <n v="2"/>
  </r>
  <r>
    <x v="8"/>
    <n v="1"/>
  </r>
  <r>
    <x v="9"/>
    <n v="1"/>
  </r>
  <r>
    <x v="10"/>
    <n v="1"/>
  </r>
  <r>
    <x v="11"/>
    <n v="1"/>
  </r>
  <r>
    <x v="12"/>
    <n v="1"/>
  </r>
  <r>
    <x v="13"/>
    <n v="5"/>
  </r>
  <r>
    <x v="14"/>
    <n v="1"/>
  </r>
  <r>
    <x v="15"/>
    <n v="2"/>
  </r>
  <r>
    <x v="16"/>
    <n v="1"/>
  </r>
  <r>
    <x v="17"/>
    <n v="1"/>
  </r>
  <r>
    <x v="18"/>
    <n v="1"/>
  </r>
  <r>
    <x v="19"/>
    <n v="1"/>
  </r>
  <r>
    <x v="20"/>
    <n v="2"/>
  </r>
  <r>
    <x v="21"/>
    <n v="1"/>
  </r>
  <r>
    <x v="22"/>
    <n v="1"/>
  </r>
  <r>
    <x v="23"/>
    <n v="1"/>
  </r>
  <r>
    <x v="24"/>
    <n v="1"/>
  </r>
  <r>
    <x v="25"/>
    <n v="2"/>
  </r>
  <r>
    <x v="26"/>
    <n v="4"/>
  </r>
  <r>
    <x v="27"/>
    <n v="1"/>
  </r>
  <r>
    <x v="28"/>
    <n v="1"/>
  </r>
  <r>
    <x v="29"/>
    <n v="1"/>
  </r>
  <r>
    <x v="30"/>
    <n v="2"/>
  </r>
  <r>
    <x v="31"/>
    <n v="1"/>
  </r>
  <r>
    <x v="32"/>
    <n v="1"/>
  </r>
  <r>
    <x v="33"/>
    <n v="1"/>
  </r>
  <r>
    <x v="34"/>
    <n v="1"/>
  </r>
  <r>
    <x v="35"/>
    <n v="1"/>
  </r>
  <r>
    <x v="36"/>
    <n v="3"/>
  </r>
  <r>
    <x v="37"/>
    <n v="1"/>
  </r>
  <r>
    <x v="38"/>
    <n v="1"/>
  </r>
  <r>
    <x v="39"/>
    <n v="1"/>
  </r>
  <r>
    <x v="40"/>
    <n v="1"/>
  </r>
  <r>
    <x v="41"/>
    <n v="1"/>
  </r>
  <r>
    <x v="42"/>
    <n v="1"/>
  </r>
  <r>
    <x v="43"/>
    <n v="1"/>
  </r>
  <r>
    <x v="44"/>
    <n v="1"/>
  </r>
  <r>
    <x v="45"/>
    <n v="1"/>
  </r>
  <r>
    <x v="46"/>
    <n v="1"/>
  </r>
  <r>
    <x v="47"/>
    <n v="1"/>
  </r>
  <r>
    <x v="48"/>
    <n v="1"/>
  </r>
  <r>
    <x v="49"/>
    <n v="15"/>
  </r>
  <r>
    <x v="50"/>
    <n v="1"/>
  </r>
  <r>
    <x v="51"/>
    <n v="2"/>
  </r>
  <r>
    <x v="52"/>
    <n v="2"/>
  </r>
  <r>
    <x v="53"/>
    <n v="2"/>
  </r>
  <r>
    <x v="54"/>
    <n v="1"/>
  </r>
  <r>
    <x v="55"/>
    <n v="1"/>
  </r>
  <r>
    <x v="56"/>
    <n v="1"/>
  </r>
  <r>
    <x v="57"/>
    <n v="1"/>
  </r>
  <r>
    <x v="58"/>
    <n v="3"/>
  </r>
  <r>
    <x v="59"/>
    <n v="1"/>
  </r>
  <r>
    <x v="60"/>
    <n v="1"/>
  </r>
  <r>
    <x v="61"/>
    <n v="2"/>
  </r>
  <r>
    <x v="62"/>
    <n v="1"/>
  </r>
  <r>
    <x v="63"/>
    <n v="1"/>
  </r>
  <r>
    <x v="64"/>
    <n v="1"/>
  </r>
  <r>
    <x v="65"/>
    <n v="1"/>
  </r>
  <r>
    <x v="66"/>
    <n v="1"/>
  </r>
  <r>
    <x v="67"/>
    <n v="1"/>
  </r>
  <r>
    <x v="68"/>
    <n v="2"/>
  </r>
  <r>
    <x v="69"/>
    <n v="1"/>
  </r>
  <r>
    <x v="70"/>
    <n v="1"/>
  </r>
  <r>
    <x v="71"/>
    <n v="1"/>
  </r>
  <r>
    <x v="72"/>
    <n v="1"/>
  </r>
  <r>
    <x v="73"/>
    <n v="1"/>
  </r>
  <r>
    <x v="74"/>
    <n v="1"/>
  </r>
  <r>
    <x v="75"/>
    <n v="2"/>
  </r>
  <r>
    <x v="76"/>
    <n v="1"/>
  </r>
  <r>
    <x v="77"/>
    <n v="1"/>
  </r>
  <r>
    <x v="78"/>
    <n v="1"/>
  </r>
  <r>
    <x v="79"/>
    <n v="1"/>
  </r>
  <r>
    <x v="80"/>
    <n v="2"/>
  </r>
  <r>
    <x v="81"/>
    <n v="1"/>
  </r>
  <r>
    <x v="82"/>
    <n v="1"/>
  </r>
  <r>
    <x v="83"/>
    <n v="1"/>
  </r>
  <r>
    <x v="84"/>
    <n v="1"/>
  </r>
  <r>
    <x v="85"/>
    <n v="1"/>
  </r>
  <r>
    <x v="86"/>
    <n v="1"/>
  </r>
  <r>
    <x v="87"/>
    <n v="1"/>
  </r>
  <r>
    <x v="88"/>
    <n v="1"/>
  </r>
  <r>
    <x v="89"/>
    <n v="1"/>
  </r>
  <r>
    <x v="90"/>
    <n v="1"/>
  </r>
  <r>
    <x v="91"/>
    <n v="46"/>
  </r>
  <r>
    <x v="92"/>
    <n v="1"/>
  </r>
  <r>
    <x v="93"/>
    <n v="1"/>
  </r>
  <r>
    <x v="94"/>
    <n v="1"/>
  </r>
  <r>
    <x v="95"/>
    <n v="1"/>
  </r>
  <r>
    <x v="96"/>
    <n v="1"/>
  </r>
  <r>
    <x v="97"/>
    <n v="2"/>
  </r>
  <r>
    <x v="98"/>
    <n v="1"/>
  </r>
  <r>
    <x v="99"/>
    <n v="5"/>
  </r>
  <r>
    <x v="100"/>
    <n v="12"/>
  </r>
  <r>
    <x v="101"/>
    <n v="2"/>
  </r>
  <r>
    <x v="102"/>
    <n v="1"/>
  </r>
  <r>
    <x v="103"/>
    <n v="1"/>
  </r>
  <r>
    <x v="104"/>
    <n v="1"/>
  </r>
  <r>
    <x v="105"/>
    <n v="1"/>
  </r>
  <r>
    <x v="106"/>
    <n v="1"/>
  </r>
  <r>
    <x v="107"/>
    <n v="1"/>
  </r>
  <r>
    <x v="108"/>
    <n v="1"/>
  </r>
  <r>
    <x v="109"/>
    <n v="1"/>
  </r>
  <r>
    <x v="110"/>
    <n v="1"/>
  </r>
  <r>
    <x v="111"/>
    <n v="1"/>
  </r>
  <r>
    <x v="112"/>
    <n v="1"/>
  </r>
  <r>
    <x v="113"/>
    <n v="1"/>
  </r>
  <r>
    <x v="114"/>
    <n v="1"/>
  </r>
  <r>
    <x v="115"/>
    <n v="8"/>
  </r>
  <r>
    <x v="116"/>
    <n v="1"/>
  </r>
  <r>
    <x v="117"/>
    <n v="1"/>
  </r>
  <r>
    <x v="118"/>
    <n v="1"/>
  </r>
  <r>
    <x v="119"/>
    <n v="1"/>
  </r>
  <r>
    <x v="120"/>
    <n v="2"/>
  </r>
  <r>
    <x v="121"/>
    <n v="2"/>
  </r>
  <r>
    <x v="122"/>
    <n v="1"/>
  </r>
  <r>
    <x v="123"/>
    <n v="1"/>
  </r>
  <r>
    <x v="124"/>
    <n v="1"/>
  </r>
  <r>
    <x v="125"/>
    <n v="1"/>
  </r>
  <r>
    <x v="126"/>
    <n v="1"/>
  </r>
  <r>
    <x v="127"/>
    <n v="1"/>
  </r>
  <r>
    <x v="128"/>
    <n v="5"/>
  </r>
  <r>
    <x v="129"/>
    <n v="5"/>
  </r>
  <r>
    <x v="130"/>
    <n v="1"/>
  </r>
  <r>
    <x v="131"/>
    <n v="1"/>
  </r>
  <r>
    <x v="132"/>
    <n v="1"/>
  </r>
  <r>
    <x v="133"/>
    <n v="1"/>
  </r>
  <r>
    <x v="134"/>
    <n v="1"/>
  </r>
  <r>
    <x v="129"/>
    <n v="5"/>
  </r>
  <r>
    <x v="135"/>
    <n v="3"/>
  </r>
  <r>
    <x v="136"/>
    <n v="1"/>
  </r>
  <r>
    <x v="137"/>
    <n v="1"/>
  </r>
  <r>
    <x v="138"/>
    <n v="1"/>
  </r>
  <r>
    <x v="139"/>
    <n v="1"/>
  </r>
  <r>
    <x v="140"/>
    <n v="2"/>
  </r>
  <r>
    <x v="141"/>
    <n v="1"/>
  </r>
  <r>
    <x v="142"/>
    <n v="1"/>
  </r>
  <r>
    <x v="143"/>
    <n v="1"/>
  </r>
  <r>
    <x v="144"/>
    <n v="3"/>
  </r>
  <r>
    <x v="145"/>
    <n v="1"/>
  </r>
  <r>
    <x v="146"/>
    <n v="1"/>
  </r>
  <r>
    <x v="147"/>
    <n v="3"/>
  </r>
  <r>
    <x v="148"/>
    <n v="1"/>
  </r>
  <r>
    <x v="149"/>
    <n v="1"/>
  </r>
  <r>
    <x v="150"/>
    <n v="1"/>
  </r>
  <r>
    <x v="151"/>
    <n v="1"/>
  </r>
  <r>
    <x v="152"/>
    <n v="1"/>
  </r>
  <r>
    <x v="153"/>
    <n v="1"/>
  </r>
  <r>
    <x v="154"/>
    <n v="1"/>
  </r>
  <r>
    <x v="155"/>
    <n v="1"/>
  </r>
  <r>
    <x v="144"/>
    <n v="3"/>
  </r>
  <r>
    <x v="156"/>
    <n v="1"/>
  </r>
  <r>
    <x v="157"/>
    <n v="1"/>
  </r>
  <r>
    <x v="158"/>
    <n v="1"/>
  </r>
  <r>
    <x v="159"/>
    <n v="1"/>
  </r>
  <r>
    <x v="160"/>
    <n v="1"/>
  </r>
  <r>
    <x v="161"/>
    <n v="4"/>
  </r>
  <r>
    <x v="162"/>
    <n v="1"/>
  </r>
  <r>
    <x v="163"/>
    <n v="1"/>
  </r>
  <r>
    <x v="164"/>
    <n v="1"/>
  </r>
  <r>
    <x v="165"/>
    <n v="4"/>
  </r>
  <r>
    <x v="166"/>
    <n v="1"/>
  </r>
  <r>
    <x v="167"/>
    <n v="1"/>
  </r>
  <r>
    <x v="168"/>
    <n v="1"/>
  </r>
  <r>
    <x v="169"/>
    <n v="1"/>
  </r>
  <r>
    <x v="170"/>
    <n v="2"/>
  </r>
  <r>
    <x v="171"/>
    <n v="1"/>
  </r>
  <r>
    <x v="172"/>
    <n v="1"/>
  </r>
  <r>
    <x v="173"/>
    <n v="1"/>
  </r>
  <r>
    <x v="174"/>
    <n v="1"/>
  </r>
  <r>
    <x v="175"/>
    <n v="1"/>
  </r>
  <r>
    <x v="176"/>
    <n v="1"/>
  </r>
  <r>
    <x v="177"/>
    <n v="7"/>
  </r>
  <r>
    <x v="178"/>
    <n v="1"/>
  </r>
  <r>
    <x v="179"/>
    <n v="1"/>
  </r>
  <r>
    <x v="180"/>
    <n v="1"/>
  </r>
  <r>
    <x v="181"/>
    <n v="1"/>
  </r>
  <r>
    <x v="182"/>
    <n v="1"/>
  </r>
  <r>
    <x v="183"/>
    <n v="1"/>
  </r>
  <r>
    <x v="184"/>
    <n v="1"/>
  </r>
  <r>
    <x v="185"/>
    <n v="1"/>
  </r>
  <r>
    <x v="186"/>
    <n v="4"/>
  </r>
  <r>
    <x v="187"/>
    <n v="1"/>
  </r>
  <r>
    <x v="188"/>
    <n v="3"/>
  </r>
  <r>
    <x v="189"/>
    <n v="1"/>
  </r>
  <r>
    <x v="190"/>
    <n v="1"/>
  </r>
  <r>
    <x v="191"/>
    <n v="1"/>
  </r>
  <r>
    <x v="192"/>
    <n v="1"/>
  </r>
  <r>
    <x v="193"/>
    <n v="3"/>
  </r>
  <r>
    <x v="194"/>
    <n v="1"/>
  </r>
  <r>
    <x v="195"/>
    <n v="1"/>
  </r>
  <r>
    <x v="196"/>
    <n v="1"/>
  </r>
  <r>
    <x v="197"/>
    <n v="1"/>
  </r>
  <r>
    <x v="198"/>
    <n v="44"/>
  </r>
  <r>
    <x v="36"/>
    <n v="3"/>
  </r>
  <r>
    <x v="199"/>
    <n v="1"/>
  </r>
  <r>
    <x v="200"/>
    <n v="2"/>
  </r>
  <r>
    <x v="201"/>
    <n v="1"/>
  </r>
  <r>
    <x v="202"/>
    <n v="1"/>
  </r>
  <r>
    <x v="203"/>
    <n v="1"/>
  </r>
  <r>
    <x v="204"/>
    <n v="1"/>
  </r>
  <r>
    <x v="205"/>
    <n v="1"/>
  </r>
  <r>
    <x v="206"/>
    <n v="1"/>
  </r>
  <r>
    <x v="207"/>
    <n v="1"/>
  </r>
  <r>
    <x v="208"/>
    <n v="2"/>
  </r>
  <r>
    <x v="188"/>
    <n v="3"/>
  </r>
  <r>
    <x v="209"/>
    <n v="1"/>
  </r>
  <r>
    <x v="210"/>
    <n v="1"/>
  </r>
  <r>
    <x v="211"/>
    <n v="1"/>
  </r>
  <r>
    <x v="212"/>
    <n v="1"/>
  </r>
  <r>
    <x v="213"/>
    <n v="1"/>
  </r>
  <r>
    <x v="214"/>
    <n v="1"/>
  </r>
  <r>
    <x v="215"/>
    <n v="1"/>
  </r>
  <r>
    <x v="216"/>
    <n v="1"/>
  </r>
  <r>
    <x v="217"/>
    <n v="1"/>
  </r>
  <r>
    <x v="218"/>
    <n v="1"/>
  </r>
  <r>
    <x v="219"/>
    <n v="2"/>
  </r>
  <r>
    <x v="220"/>
    <n v="1"/>
  </r>
  <r>
    <x v="221"/>
    <n v="2"/>
  </r>
  <r>
    <x v="222"/>
    <n v="1"/>
  </r>
  <r>
    <x v="223"/>
    <n v="1"/>
  </r>
  <r>
    <x v="224"/>
    <n v="1"/>
  </r>
  <r>
    <x v="225"/>
    <n v="1"/>
  </r>
  <r>
    <x v="226"/>
    <n v="1"/>
  </r>
  <r>
    <x v="227"/>
    <n v="1"/>
  </r>
  <r>
    <x v="228"/>
    <n v="1"/>
  </r>
  <r>
    <x v="229"/>
    <n v="1"/>
  </r>
  <r>
    <x v="230"/>
    <n v="3"/>
  </r>
  <r>
    <x v="231"/>
    <n v="1"/>
  </r>
  <r>
    <x v="232"/>
    <n v="2"/>
  </r>
  <r>
    <x v="233"/>
    <n v="1"/>
  </r>
  <r>
    <x v="234"/>
    <n v="1"/>
  </r>
  <r>
    <x v="235"/>
    <n v="1"/>
  </r>
  <r>
    <x v="236"/>
    <n v="1"/>
  </r>
  <r>
    <x v="237"/>
    <n v="1"/>
  </r>
  <r>
    <x v="238"/>
    <n v="1"/>
  </r>
  <r>
    <x v="239"/>
    <n v="1"/>
  </r>
  <r>
    <x v="240"/>
    <n v="1"/>
  </r>
  <r>
    <x v="241"/>
    <n v="1"/>
  </r>
  <r>
    <x v="242"/>
    <n v="1"/>
  </r>
  <r>
    <x v="243"/>
    <n v="2"/>
  </r>
  <r>
    <x v="244"/>
    <n v="1"/>
  </r>
  <r>
    <x v="245"/>
    <n v="1"/>
  </r>
  <r>
    <x v="246"/>
    <n v="1"/>
  </r>
  <r>
    <x v="247"/>
    <n v="1"/>
  </r>
  <r>
    <x v="248"/>
    <n v="1"/>
  </r>
  <r>
    <x v="249"/>
    <n v="1"/>
  </r>
  <r>
    <x v="250"/>
    <n v="1"/>
  </r>
  <r>
    <x v="251"/>
    <n v="1"/>
  </r>
  <r>
    <x v="252"/>
    <n v="1"/>
  </r>
  <r>
    <x v="253"/>
    <n v="1"/>
  </r>
  <r>
    <x v="254"/>
    <n v="1"/>
  </r>
  <r>
    <x v="255"/>
    <n v="1"/>
  </r>
  <r>
    <x v="256"/>
    <n v="1"/>
  </r>
  <r>
    <x v="257"/>
    <n v="1"/>
  </r>
  <r>
    <x v="258"/>
    <n v="1"/>
  </r>
  <r>
    <x v="259"/>
    <n v="1"/>
  </r>
  <r>
    <x v="260"/>
    <n v="1"/>
  </r>
  <r>
    <x v="261"/>
    <n v="1"/>
  </r>
  <r>
    <x v="262"/>
    <n v="1"/>
  </r>
  <r>
    <x v="263"/>
    <n v="10"/>
  </r>
  <r>
    <x v="264"/>
    <n v="1"/>
  </r>
  <r>
    <x v="265"/>
    <n v="1"/>
  </r>
  <r>
    <x v="266"/>
    <n v="1"/>
  </r>
  <r>
    <x v="267"/>
    <n v="1"/>
  </r>
  <r>
    <x v="268"/>
    <n v="2"/>
  </r>
  <r>
    <x v="269"/>
    <n v="1"/>
  </r>
  <r>
    <x v="270"/>
    <n v="1"/>
  </r>
  <r>
    <x v="271"/>
    <n v="1"/>
  </r>
  <r>
    <x v="272"/>
    <n v="1"/>
  </r>
  <r>
    <x v="273"/>
    <n v="1"/>
  </r>
  <r>
    <x v="274"/>
    <n v="1"/>
  </r>
  <r>
    <x v="275"/>
    <n v="1"/>
  </r>
  <r>
    <x v="276"/>
    <n v="1"/>
  </r>
  <r>
    <x v="277"/>
    <n v="1"/>
  </r>
  <r>
    <x v="278"/>
    <n v="1"/>
  </r>
  <r>
    <x v="279"/>
    <n v="1"/>
  </r>
  <r>
    <x v="280"/>
    <n v="1"/>
  </r>
  <r>
    <x v="281"/>
    <n v="1"/>
  </r>
  <r>
    <x v="282"/>
    <n v="7"/>
  </r>
  <r>
    <x v="283"/>
    <n v="1"/>
  </r>
  <r>
    <x v="284"/>
    <n v="1"/>
  </r>
  <r>
    <x v="285"/>
    <n v="1"/>
  </r>
  <r>
    <x v="286"/>
    <n v="1"/>
  </r>
  <r>
    <x v="287"/>
    <n v="1"/>
  </r>
  <r>
    <x v="288"/>
    <n v="1"/>
  </r>
  <r>
    <x v="289"/>
    <n v="1"/>
  </r>
  <r>
    <x v="290"/>
    <n v="5"/>
  </r>
  <r>
    <x v="291"/>
    <n v="1"/>
  </r>
  <r>
    <x v="292"/>
    <n v="1"/>
  </r>
  <r>
    <x v="293"/>
    <n v="1"/>
  </r>
  <r>
    <x v="294"/>
    <n v="1"/>
  </r>
  <r>
    <x v="295"/>
    <n v="1"/>
  </r>
  <r>
    <x v="296"/>
    <n v="4"/>
  </r>
  <r>
    <x v="297"/>
    <n v="1"/>
  </r>
  <r>
    <x v="298"/>
    <n v="1"/>
  </r>
  <r>
    <x v="299"/>
    <n v="1"/>
  </r>
  <r>
    <x v="300"/>
    <n v="1"/>
  </r>
  <r>
    <x v="301"/>
    <n v="1"/>
  </r>
  <r>
    <x v="302"/>
    <n v="1"/>
  </r>
  <r>
    <x v="303"/>
    <n v="1"/>
  </r>
  <r>
    <x v="304"/>
    <n v="1"/>
  </r>
  <r>
    <x v="305"/>
    <n v="1"/>
  </r>
  <r>
    <x v="306"/>
    <n v="1"/>
  </r>
  <r>
    <x v="307"/>
    <n v="1"/>
  </r>
  <r>
    <x v="308"/>
    <n v="1"/>
  </r>
  <r>
    <x v="309"/>
    <n v="1"/>
  </r>
  <r>
    <x v="310"/>
    <n v="1"/>
  </r>
  <r>
    <x v="311"/>
    <n v="1"/>
  </r>
  <r>
    <x v="312"/>
    <n v="1"/>
  </r>
  <r>
    <x v="313"/>
    <n v="1"/>
  </r>
  <r>
    <x v="314"/>
    <n v="1"/>
  </r>
  <r>
    <x v="315"/>
    <n v="1"/>
  </r>
  <r>
    <x v="316"/>
    <n v="1"/>
  </r>
  <r>
    <x v="317"/>
    <n v="1"/>
  </r>
  <r>
    <x v="318"/>
    <n v="1"/>
  </r>
  <r>
    <x v="319"/>
    <n v="1"/>
  </r>
  <r>
    <x v="320"/>
    <n v="1"/>
  </r>
  <r>
    <x v="321"/>
    <n v="1"/>
  </r>
  <r>
    <x v="322"/>
    <n v="6"/>
  </r>
  <r>
    <x v="323"/>
    <n v="1"/>
  </r>
  <r>
    <x v="324"/>
    <n v="1"/>
  </r>
  <r>
    <x v="263"/>
    <n v="10"/>
  </r>
  <r>
    <x v="325"/>
    <n v="1"/>
  </r>
  <r>
    <x v="326"/>
    <n v="1"/>
  </r>
  <r>
    <x v="327"/>
    <n v="2"/>
  </r>
  <r>
    <x v="328"/>
    <n v="1"/>
  </r>
  <r>
    <x v="329"/>
    <n v="3"/>
  </r>
  <r>
    <x v="330"/>
    <n v="1"/>
  </r>
  <r>
    <x v="331"/>
    <n v="1"/>
  </r>
  <r>
    <x v="332"/>
    <n v="1"/>
  </r>
  <r>
    <x v="333"/>
    <n v="1"/>
  </r>
  <r>
    <x v="334"/>
    <n v="1"/>
  </r>
  <r>
    <x v="335"/>
    <n v="1"/>
  </r>
  <r>
    <x v="336"/>
    <n v="1"/>
  </r>
  <r>
    <x v="337"/>
    <n v="1"/>
  </r>
  <r>
    <x v="338"/>
    <n v="1"/>
  </r>
  <r>
    <x v="339"/>
    <n v="1"/>
  </r>
  <r>
    <x v="322"/>
    <n v="6"/>
  </r>
  <r>
    <x v="340"/>
    <n v="1"/>
  </r>
  <r>
    <x v="341"/>
    <n v="2"/>
  </r>
  <r>
    <x v="342"/>
    <n v="1"/>
  </r>
  <r>
    <x v="343"/>
    <n v="2"/>
  </r>
  <r>
    <x v="344"/>
    <n v="2"/>
  </r>
  <r>
    <x v="345"/>
    <n v="2"/>
  </r>
  <r>
    <x v="346"/>
    <n v="1"/>
  </r>
  <r>
    <x v="347"/>
    <n v="1"/>
  </r>
  <r>
    <x v="348"/>
    <n v="1"/>
  </r>
  <r>
    <x v="349"/>
    <n v="1"/>
  </r>
  <r>
    <x v="350"/>
    <n v="2"/>
  </r>
  <r>
    <x v="351"/>
    <n v="1"/>
  </r>
  <r>
    <x v="352"/>
    <n v="1"/>
  </r>
  <r>
    <x v="353"/>
    <n v="1"/>
  </r>
  <r>
    <x v="354"/>
    <n v="1"/>
  </r>
  <r>
    <x v="355"/>
    <n v="2"/>
  </r>
  <r>
    <x v="356"/>
    <n v="1"/>
  </r>
  <r>
    <x v="357"/>
    <n v="1"/>
  </r>
  <r>
    <x v="358"/>
    <n v="1"/>
  </r>
  <r>
    <x v="359"/>
    <n v="1"/>
  </r>
  <r>
    <x v="360"/>
    <n v="2"/>
  </r>
  <r>
    <x v="361"/>
    <n v="1"/>
  </r>
  <r>
    <x v="362"/>
    <n v="1"/>
  </r>
  <r>
    <x v="363"/>
    <n v="1"/>
  </r>
  <r>
    <x v="364"/>
    <n v="2"/>
  </r>
  <r>
    <x v="365"/>
    <n v="1"/>
  </r>
  <r>
    <x v="366"/>
    <n v="1"/>
  </r>
  <r>
    <x v="367"/>
    <n v="1"/>
  </r>
  <r>
    <x v="368"/>
    <n v="1"/>
  </r>
  <r>
    <x v="369"/>
    <n v="1"/>
  </r>
  <r>
    <x v="370"/>
    <n v="1"/>
  </r>
  <r>
    <x v="371"/>
    <n v="1"/>
  </r>
  <r>
    <x v="372"/>
    <n v="1"/>
  </r>
  <r>
    <x v="373"/>
    <n v="1"/>
  </r>
  <r>
    <x v="374"/>
    <n v="1"/>
  </r>
  <r>
    <x v="375"/>
    <n v="1"/>
  </r>
  <r>
    <x v="376"/>
    <n v="1"/>
  </r>
  <r>
    <x v="377"/>
    <n v="1"/>
  </r>
  <r>
    <x v="378"/>
    <n v="1"/>
  </r>
  <r>
    <x v="379"/>
    <n v="1"/>
  </r>
  <r>
    <x v="380"/>
    <n v="1"/>
  </r>
  <r>
    <x v="381"/>
    <n v="1"/>
  </r>
  <r>
    <x v="382"/>
    <n v="1"/>
  </r>
  <r>
    <x v="383"/>
    <n v="1"/>
  </r>
  <r>
    <x v="384"/>
    <n v="1"/>
  </r>
  <r>
    <x v="385"/>
    <n v="1"/>
  </r>
  <r>
    <x v="386"/>
    <n v="1"/>
  </r>
  <r>
    <x v="387"/>
    <n v="1"/>
  </r>
  <r>
    <x v="388"/>
    <n v="1"/>
  </r>
  <r>
    <x v="389"/>
    <n v="1"/>
  </r>
  <r>
    <x v="390"/>
    <n v="1"/>
  </r>
  <r>
    <x v="391"/>
    <n v="1"/>
  </r>
  <r>
    <x v="392"/>
    <n v="5"/>
  </r>
  <r>
    <x v="393"/>
    <n v="1"/>
  </r>
  <r>
    <x v="394"/>
    <n v="1"/>
  </r>
  <r>
    <x v="395"/>
    <n v="1"/>
  </r>
  <r>
    <x v="396"/>
    <n v="1"/>
  </r>
  <r>
    <x v="397"/>
    <n v="1"/>
  </r>
  <r>
    <x v="398"/>
    <n v="1"/>
  </r>
  <r>
    <x v="399"/>
    <n v="1"/>
  </r>
  <r>
    <x v="400"/>
    <n v="1"/>
  </r>
  <r>
    <x v="401"/>
    <n v="1"/>
  </r>
  <r>
    <x v="402"/>
    <n v="1"/>
  </r>
  <r>
    <x v="403"/>
    <n v="1"/>
  </r>
  <r>
    <x v="404"/>
    <n v="1"/>
  </r>
  <r>
    <x v="405"/>
    <n v="1"/>
  </r>
  <r>
    <x v="406"/>
    <n v="1"/>
  </r>
  <r>
    <x v="407"/>
    <n v="1"/>
  </r>
  <r>
    <x v="408"/>
    <n v="1"/>
  </r>
  <r>
    <x v="409"/>
    <n v="1"/>
  </r>
  <r>
    <x v="410"/>
    <n v="1"/>
  </r>
  <r>
    <x v="360"/>
    <n v="2"/>
  </r>
  <r>
    <x v="411"/>
    <n v="1"/>
  </r>
  <r>
    <x v="412"/>
    <n v="1"/>
  </r>
  <r>
    <x v="413"/>
    <n v="1"/>
  </r>
  <r>
    <x v="414"/>
    <n v="1"/>
  </r>
  <r>
    <x v="415"/>
    <n v="5"/>
  </r>
  <r>
    <x v="416"/>
    <n v="1"/>
  </r>
  <r>
    <x v="417"/>
    <n v="1"/>
  </r>
  <r>
    <x v="418"/>
    <n v="26"/>
  </r>
  <r>
    <x v="419"/>
    <n v="1"/>
  </r>
  <r>
    <x v="392"/>
    <n v="5"/>
  </r>
  <r>
    <x v="420"/>
    <n v="1"/>
  </r>
  <r>
    <x v="421"/>
    <n v="1"/>
  </r>
  <r>
    <x v="422"/>
    <n v="2"/>
  </r>
  <r>
    <x v="423"/>
    <n v="1"/>
  </r>
  <r>
    <x v="424"/>
    <n v="3"/>
  </r>
  <r>
    <x v="425"/>
    <n v="1"/>
  </r>
  <r>
    <x v="426"/>
    <n v="1"/>
  </r>
  <r>
    <x v="427"/>
    <n v="1"/>
  </r>
  <r>
    <x v="428"/>
    <n v="1"/>
  </r>
  <r>
    <x v="429"/>
    <n v="7"/>
  </r>
  <r>
    <x v="430"/>
    <n v="1"/>
  </r>
  <r>
    <x v="431"/>
    <n v="1"/>
  </r>
  <r>
    <x v="432"/>
    <n v="1"/>
  </r>
  <r>
    <x v="433"/>
    <n v="1"/>
  </r>
  <r>
    <x v="434"/>
    <n v="1"/>
  </r>
  <r>
    <x v="435"/>
    <n v="1"/>
  </r>
  <r>
    <x v="436"/>
    <n v="1"/>
  </r>
  <r>
    <x v="437"/>
    <n v="1"/>
  </r>
  <r>
    <x v="438"/>
    <n v="1"/>
  </r>
  <r>
    <x v="439"/>
    <n v="1"/>
  </r>
  <r>
    <x v="440"/>
    <n v="1"/>
  </r>
  <r>
    <x v="441"/>
    <n v="1"/>
  </r>
  <r>
    <x v="442"/>
    <n v="1"/>
  </r>
  <r>
    <x v="392"/>
    <n v="5"/>
  </r>
  <r>
    <x v="443"/>
    <n v="1"/>
  </r>
  <r>
    <x v="444"/>
    <n v="1"/>
  </r>
  <r>
    <x v="445"/>
    <n v="1"/>
  </r>
  <r>
    <x v="446"/>
    <n v="1"/>
  </r>
  <r>
    <x v="447"/>
    <n v="1"/>
  </r>
  <r>
    <x v="448"/>
    <n v="2"/>
  </r>
  <r>
    <x v="449"/>
    <n v="1"/>
  </r>
  <r>
    <x v="450"/>
    <n v="2"/>
  </r>
  <r>
    <x v="451"/>
    <n v="1"/>
  </r>
  <r>
    <x v="452"/>
    <n v="1"/>
  </r>
  <r>
    <x v="453"/>
    <n v="1"/>
  </r>
  <r>
    <x v="454"/>
    <n v="2"/>
  </r>
  <r>
    <x v="455"/>
    <n v="1"/>
  </r>
  <r>
    <x v="456"/>
    <n v="1"/>
  </r>
  <r>
    <x v="457"/>
    <n v="6"/>
  </r>
  <r>
    <x v="458"/>
    <n v="1"/>
  </r>
  <r>
    <x v="459"/>
    <n v="2"/>
  </r>
  <r>
    <x v="460"/>
    <n v="3"/>
  </r>
  <r>
    <x v="461"/>
    <n v="6"/>
  </r>
  <r>
    <x v="462"/>
    <n v="1"/>
  </r>
  <r>
    <x v="463"/>
    <n v="1"/>
  </r>
  <r>
    <x v="464"/>
    <n v="1"/>
  </r>
  <r>
    <x v="465"/>
    <n v="1"/>
  </r>
  <r>
    <x v="466"/>
    <n v="2"/>
  </r>
  <r>
    <x v="467"/>
    <n v="1"/>
  </r>
  <r>
    <x v="468"/>
    <n v="1"/>
  </r>
  <r>
    <x v="469"/>
    <n v="1"/>
  </r>
  <r>
    <x v="470"/>
    <n v="1"/>
  </r>
  <r>
    <x v="471"/>
    <n v="1"/>
  </r>
  <r>
    <x v="472"/>
    <n v="1"/>
  </r>
  <r>
    <x v="473"/>
    <n v="1"/>
  </r>
  <r>
    <x v="474"/>
    <n v="1"/>
  </r>
  <r>
    <x v="475"/>
    <n v="1"/>
  </r>
  <r>
    <x v="476"/>
    <n v="1"/>
  </r>
  <r>
    <x v="477"/>
    <n v="1"/>
  </r>
  <r>
    <x v="478"/>
    <n v="1"/>
  </r>
  <r>
    <x v="479"/>
    <n v="1"/>
  </r>
  <r>
    <x v="480"/>
    <n v="1"/>
  </r>
  <r>
    <x v="481"/>
    <n v="1"/>
  </r>
  <r>
    <x v="482"/>
    <n v="1"/>
  </r>
  <r>
    <x v="483"/>
    <n v="1"/>
  </r>
  <r>
    <x v="484"/>
    <n v="1"/>
  </r>
  <r>
    <x v="485"/>
    <n v="1"/>
  </r>
  <r>
    <x v="486"/>
    <n v="1"/>
  </r>
  <r>
    <x v="487"/>
    <n v="1"/>
  </r>
  <r>
    <x v="488"/>
    <n v="1"/>
  </r>
  <r>
    <x v="489"/>
    <n v="1"/>
  </r>
  <r>
    <x v="490"/>
    <n v="1"/>
  </r>
  <r>
    <x v="200"/>
    <n v="2"/>
  </r>
  <r>
    <x v="491"/>
    <n v="1"/>
  </r>
  <r>
    <x v="492"/>
    <n v="1"/>
  </r>
  <r>
    <x v="493"/>
    <n v="1"/>
  </r>
  <r>
    <x v="494"/>
    <n v="1"/>
  </r>
  <r>
    <x v="495"/>
    <n v="1"/>
  </r>
  <r>
    <x v="496"/>
    <n v="1"/>
  </r>
  <r>
    <x v="497"/>
    <n v="1"/>
  </r>
  <r>
    <x v="498"/>
    <n v="1"/>
  </r>
  <r>
    <x v="499"/>
    <n v="3"/>
  </r>
  <r>
    <x v="500"/>
    <n v="1"/>
  </r>
  <r>
    <x v="501"/>
    <n v="1"/>
  </r>
  <r>
    <x v="457"/>
    <n v="6"/>
  </r>
  <r>
    <x v="502"/>
    <n v="1"/>
  </r>
  <r>
    <x v="503"/>
    <n v="1"/>
  </r>
  <r>
    <x v="504"/>
    <n v="1"/>
  </r>
  <r>
    <x v="505"/>
    <n v="2"/>
  </r>
  <r>
    <x v="506"/>
    <n v="3"/>
  </r>
  <r>
    <x v="507"/>
    <n v="1"/>
  </r>
  <r>
    <x v="508"/>
    <n v="1"/>
  </r>
  <r>
    <x v="509"/>
    <n v="1"/>
  </r>
  <r>
    <x v="510"/>
    <n v="1"/>
  </r>
  <r>
    <x v="511"/>
    <n v="1"/>
  </r>
  <r>
    <x v="512"/>
    <n v="1"/>
  </r>
  <r>
    <x v="513"/>
    <n v="1"/>
  </r>
  <r>
    <x v="514"/>
    <n v="1"/>
  </r>
  <r>
    <x v="515"/>
    <n v="1"/>
  </r>
  <r>
    <x v="516"/>
    <n v="1"/>
  </r>
  <r>
    <x v="165"/>
    <n v="4"/>
  </r>
  <r>
    <x v="517"/>
    <n v="1"/>
  </r>
  <r>
    <x v="518"/>
    <n v="1"/>
  </r>
  <r>
    <x v="519"/>
    <n v="1"/>
  </r>
  <r>
    <x v="520"/>
    <n v="1"/>
  </r>
  <r>
    <x v="521"/>
    <n v="1"/>
  </r>
  <r>
    <x v="522"/>
    <n v="1"/>
  </r>
  <r>
    <x v="523"/>
    <n v="1"/>
  </r>
  <r>
    <x v="524"/>
    <n v="1"/>
  </r>
  <r>
    <x v="263"/>
    <n v="10"/>
  </r>
  <r>
    <x v="525"/>
    <n v="1"/>
  </r>
  <r>
    <x v="526"/>
    <n v="2"/>
  </r>
  <r>
    <x v="527"/>
    <n v="1"/>
  </r>
  <r>
    <x v="528"/>
    <n v="1"/>
  </r>
  <r>
    <x v="529"/>
    <n v="1"/>
  </r>
  <r>
    <x v="530"/>
    <n v="1"/>
  </r>
  <r>
    <x v="531"/>
    <n v="1"/>
  </r>
  <r>
    <x v="532"/>
    <n v="1"/>
  </r>
  <r>
    <x v="533"/>
    <n v="1"/>
  </r>
  <r>
    <x v="534"/>
    <n v="1"/>
  </r>
  <r>
    <x v="535"/>
    <n v="1"/>
  </r>
  <r>
    <x v="536"/>
    <n v="1"/>
  </r>
  <r>
    <x v="537"/>
    <n v="1"/>
  </r>
  <r>
    <x v="538"/>
    <n v="1"/>
  </r>
  <r>
    <x v="539"/>
    <n v="1"/>
  </r>
  <r>
    <x v="540"/>
    <n v="1"/>
  </r>
  <r>
    <x v="541"/>
    <n v="1"/>
  </r>
  <r>
    <x v="542"/>
    <n v="1"/>
  </r>
  <r>
    <x v="543"/>
    <n v="1"/>
  </r>
  <r>
    <x v="544"/>
    <n v="1"/>
  </r>
  <r>
    <x v="545"/>
    <n v="1"/>
  </r>
  <r>
    <x v="546"/>
    <n v="33"/>
  </r>
  <r>
    <x v="547"/>
    <n v="1"/>
  </r>
  <r>
    <x v="548"/>
    <n v="1"/>
  </r>
  <r>
    <x v="466"/>
    <n v="2"/>
  </r>
  <r>
    <x v="549"/>
    <n v="1"/>
  </r>
  <r>
    <x v="550"/>
    <n v="1"/>
  </r>
  <r>
    <x v="551"/>
    <n v="1"/>
  </r>
  <r>
    <x v="552"/>
    <n v="1"/>
  </r>
  <r>
    <x v="553"/>
    <n v="1"/>
  </r>
  <r>
    <x v="554"/>
    <n v="1"/>
  </r>
  <r>
    <x v="555"/>
    <n v="1"/>
  </r>
  <r>
    <x v="556"/>
    <n v="1"/>
  </r>
  <r>
    <x v="557"/>
    <n v="1"/>
  </r>
  <r>
    <x v="558"/>
    <n v="1"/>
  </r>
  <r>
    <x v="559"/>
    <n v="2"/>
  </r>
  <r>
    <x v="560"/>
    <n v="1"/>
  </r>
  <r>
    <x v="561"/>
    <n v="1"/>
  </r>
  <r>
    <x v="562"/>
    <n v="1"/>
  </r>
  <r>
    <x v="563"/>
    <n v="1"/>
  </r>
  <r>
    <x v="564"/>
    <n v="1"/>
  </r>
  <r>
    <x v="565"/>
    <n v="1"/>
  </r>
  <r>
    <x v="566"/>
    <n v="1"/>
  </r>
  <r>
    <x v="567"/>
    <n v="1"/>
  </r>
  <r>
    <x v="568"/>
    <n v="1"/>
  </r>
  <r>
    <x v="569"/>
    <n v="2"/>
  </r>
  <r>
    <x v="570"/>
    <n v="1"/>
  </r>
  <r>
    <x v="571"/>
    <n v="1"/>
  </r>
  <r>
    <x v="572"/>
    <n v="1"/>
  </r>
  <r>
    <x v="573"/>
    <n v="1"/>
  </r>
  <r>
    <x v="574"/>
    <n v="1"/>
  </r>
  <r>
    <x v="575"/>
    <n v="1"/>
  </r>
  <r>
    <x v="576"/>
    <n v="1"/>
  </r>
  <r>
    <x v="577"/>
    <n v="1"/>
  </r>
  <r>
    <x v="578"/>
    <n v="1"/>
  </r>
  <r>
    <x v="579"/>
    <n v="1"/>
  </r>
  <r>
    <x v="580"/>
    <n v="1"/>
  </r>
  <r>
    <x v="581"/>
    <n v="1"/>
  </r>
  <r>
    <x v="582"/>
    <n v="1"/>
  </r>
  <r>
    <x v="583"/>
    <n v="2"/>
  </r>
  <r>
    <x v="584"/>
    <n v="1"/>
  </r>
  <r>
    <x v="585"/>
    <n v="1"/>
  </r>
  <r>
    <x v="586"/>
    <n v="1"/>
  </r>
  <r>
    <x v="587"/>
    <n v="1"/>
  </r>
  <r>
    <x v="588"/>
    <n v="1"/>
  </r>
  <r>
    <x v="589"/>
    <n v="1"/>
  </r>
  <r>
    <x v="590"/>
    <n v="1"/>
  </r>
  <r>
    <x v="591"/>
    <n v="1"/>
  </r>
  <r>
    <x v="592"/>
    <n v="1"/>
  </r>
  <r>
    <x v="593"/>
    <n v="1"/>
  </r>
  <r>
    <x v="594"/>
    <n v="1"/>
  </r>
  <r>
    <x v="595"/>
    <n v="1"/>
  </r>
  <r>
    <x v="596"/>
    <n v="1"/>
  </r>
  <r>
    <x v="597"/>
    <n v="1"/>
  </r>
  <r>
    <x v="598"/>
    <n v="1"/>
  </r>
  <r>
    <x v="599"/>
    <n v="1"/>
  </r>
  <r>
    <x v="600"/>
    <n v="1"/>
  </r>
  <r>
    <x v="601"/>
    <n v="1"/>
  </r>
  <r>
    <x v="602"/>
    <n v="1"/>
  </r>
  <r>
    <x v="603"/>
    <n v="1"/>
  </r>
  <r>
    <x v="604"/>
    <n v="1"/>
  </r>
  <r>
    <x v="605"/>
    <n v="1"/>
  </r>
  <r>
    <x v="606"/>
    <n v="1"/>
  </r>
  <r>
    <x v="607"/>
    <n v="1"/>
  </r>
  <r>
    <x v="608"/>
    <n v="1"/>
  </r>
  <r>
    <x v="609"/>
    <n v="2"/>
  </r>
  <r>
    <x v="610"/>
    <n v="1"/>
  </r>
  <r>
    <x v="611"/>
    <n v="1"/>
  </r>
  <r>
    <x v="612"/>
    <n v="1"/>
  </r>
  <r>
    <x v="613"/>
    <n v="1"/>
  </r>
  <r>
    <x v="614"/>
    <n v="2"/>
  </r>
  <r>
    <x v="615"/>
    <n v="1"/>
  </r>
  <r>
    <x v="616"/>
    <n v="1"/>
  </r>
  <r>
    <x v="617"/>
    <n v="1"/>
  </r>
  <r>
    <x v="618"/>
    <n v="1"/>
  </r>
  <r>
    <x v="619"/>
    <n v="1"/>
  </r>
  <r>
    <x v="620"/>
    <n v="1"/>
  </r>
  <r>
    <x v="621"/>
    <n v="1"/>
  </r>
  <r>
    <x v="622"/>
    <n v="1"/>
  </r>
  <r>
    <x v="623"/>
    <n v="1"/>
  </r>
  <r>
    <x v="624"/>
    <n v="1"/>
  </r>
  <r>
    <x v="625"/>
    <n v="1"/>
  </r>
  <r>
    <x v="626"/>
    <n v="1"/>
  </r>
  <r>
    <x v="627"/>
    <n v="14"/>
  </r>
  <r>
    <x v="628"/>
    <n v="1"/>
  </r>
  <r>
    <x v="629"/>
    <n v="1"/>
  </r>
  <r>
    <x v="630"/>
    <n v="1"/>
  </r>
  <r>
    <x v="631"/>
    <n v="1"/>
  </r>
  <r>
    <x v="632"/>
    <n v="1"/>
  </r>
  <r>
    <x v="633"/>
    <n v="1"/>
  </r>
  <r>
    <x v="634"/>
    <n v="1"/>
  </r>
  <r>
    <x v="635"/>
    <n v="1"/>
  </r>
  <r>
    <x v="636"/>
    <n v="3"/>
  </r>
  <r>
    <x v="637"/>
    <n v="3"/>
  </r>
  <r>
    <x v="638"/>
    <n v="1"/>
  </r>
  <r>
    <x v="639"/>
    <n v="1"/>
  </r>
  <r>
    <x v="640"/>
    <n v="1"/>
  </r>
  <r>
    <x v="641"/>
    <n v="1"/>
  </r>
  <r>
    <x v="642"/>
    <n v="1"/>
  </r>
  <r>
    <x v="643"/>
    <n v="1"/>
  </r>
  <r>
    <x v="644"/>
    <n v="1"/>
  </r>
  <r>
    <x v="645"/>
    <n v="1"/>
  </r>
  <r>
    <x v="646"/>
    <n v="1"/>
  </r>
  <r>
    <x v="647"/>
    <n v="1"/>
  </r>
  <r>
    <x v="648"/>
    <n v="1"/>
  </r>
  <r>
    <x v="649"/>
    <n v="1"/>
  </r>
  <r>
    <x v="650"/>
    <n v="1"/>
  </r>
  <r>
    <x v="651"/>
    <n v="1"/>
  </r>
  <r>
    <x v="652"/>
    <n v="1"/>
  </r>
  <r>
    <x v="653"/>
    <n v="1"/>
  </r>
  <r>
    <x v="654"/>
    <n v="1"/>
  </r>
  <r>
    <x v="655"/>
    <n v="1"/>
  </r>
  <r>
    <x v="656"/>
    <n v="1"/>
  </r>
  <r>
    <x v="657"/>
    <n v="1"/>
  </r>
  <r>
    <x v="658"/>
    <n v="1"/>
  </r>
  <r>
    <x v="659"/>
    <n v="1"/>
  </r>
  <r>
    <x v="660"/>
    <n v="1"/>
  </r>
  <r>
    <x v="661"/>
    <n v="1"/>
  </r>
  <r>
    <x v="662"/>
    <n v="1"/>
  </r>
  <r>
    <x v="663"/>
    <n v="1"/>
  </r>
  <r>
    <x v="664"/>
    <n v="1"/>
  </r>
  <r>
    <x v="665"/>
    <n v="1"/>
  </r>
  <r>
    <x v="666"/>
    <n v="1"/>
  </r>
  <r>
    <x v="667"/>
    <n v="1"/>
  </r>
  <r>
    <x v="668"/>
    <n v="1"/>
  </r>
  <r>
    <x v="669"/>
    <n v="1"/>
  </r>
  <r>
    <x v="670"/>
    <n v="1"/>
  </r>
  <r>
    <x v="671"/>
    <n v="1"/>
  </r>
  <r>
    <x v="672"/>
    <n v="1"/>
  </r>
  <r>
    <x v="673"/>
    <n v="1"/>
  </r>
  <r>
    <x v="674"/>
    <n v="1"/>
  </r>
  <r>
    <x v="675"/>
    <n v="1"/>
  </r>
  <r>
    <x v="676"/>
    <n v="1"/>
  </r>
  <r>
    <x v="677"/>
    <n v="1"/>
  </r>
  <r>
    <x v="678"/>
    <n v="1"/>
  </r>
  <r>
    <x v="679"/>
    <n v="1"/>
  </r>
  <r>
    <x v="680"/>
    <n v="1"/>
  </r>
  <r>
    <x v="681"/>
    <n v="1"/>
  </r>
  <r>
    <x v="682"/>
    <n v="1"/>
  </r>
  <r>
    <x v="683"/>
    <n v="1"/>
  </r>
  <r>
    <x v="684"/>
    <n v="1"/>
  </r>
  <r>
    <x v="685"/>
    <n v="1"/>
  </r>
  <r>
    <x v="686"/>
    <n v="1"/>
  </r>
  <r>
    <x v="687"/>
    <n v="3"/>
  </r>
  <r>
    <x v="688"/>
    <n v="1"/>
  </r>
  <r>
    <x v="689"/>
    <n v="1"/>
  </r>
  <r>
    <x v="690"/>
    <n v="1"/>
  </r>
  <r>
    <x v="691"/>
    <n v="1"/>
  </r>
  <r>
    <x v="692"/>
    <n v="1"/>
  </r>
  <r>
    <x v="693"/>
    <n v="1"/>
  </r>
  <r>
    <x v="694"/>
    <n v="1"/>
  </r>
  <r>
    <x v="695"/>
    <n v="1"/>
  </r>
  <r>
    <x v="696"/>
    <n v="1"/>
  </r>
  <r>
    <x v="697"/>
    <n v="1"/>
  </r>
  <r>
    <x v="698"/>
    <n v="1"/>
  </r>
  <r>
    <x v="699"/>
    <n v="1"/>
  </r>
  <r>
    <x v="700"/>
    <n v="1"/>
  </r>
  <r>
    <x v="701"/>
    <n v="1"/>
  </r>
  <r>
    <x v="702"/>
    <n v="1"/>
  </r>
  <r>
    <x v="703"/>
    <n v="1"/>
  </r>
  <r>
    <x v="704"/>
    <n v="1"/>
  </r>
  <r>
    <x v="705"/>
    <n v="1"/>
  </r>
  <r>
    <x v="706"/>
    <n v="1"/>
  </r>
  <r>
    <x v="707"/>
    <n v="1"/>
  </r>
  <r>
    <x v="708"/>
    <n v="1"/>
  </r>
  <r>
    <x v="709"/>
    <n v="1"/>
  </r>
  <r>
    <x v="710"/>
    <n v="2"/>
  </r>
  <r>
    <x v="711"/>
    <n v="1"/>
  </r>
  <r>
    <x v="712"/>
    <n v="1"/>
  </r>
  <r>
    <x v="713"/>
    <n v="1"/>
  </r>
  <r>
    <x v="714"/>
    <n v="1"/>
  </r>
  <r>
    <x v="715"/>
    <n v="1"/>
  </r>
  <r>
    <x v="716"/>
    <n v="1"/>
  </r>
  <r>
    <x v="717"/>
    <n v="1"/>
  </r>
  <r>
    <x v="718"/>
    <n v="1"/>
  </r>
  <r>
    <x v="719"/>
    <n v="1"/>
  </r>
  <r>
    <x v="720"/>
    <n v="1"/>
  </r>
  <r>
    <x v="721"/>
    <n v="1"/>
  </r>
  <r>
    <x v="722"/>
    <n v="1"/>
  </r>
  <r>
    <x v="723"/>
    <n v="1"/>
  </r>
  <r>
    <x v="724"/>
    <n v="1"/>
  </r>
  <r>
    <x v="725"/>
    <n v="1"/>
  </r>
  <r>
    <x v="726"/>
    <n v="1"/>
  </r>
  <r>
    <x v="727"/>
    <n v="1"/>
  </r>
  <r>
    <x v="728"/>
    <n v="1"/>
  </r>
  <r>
    <x v="729"/>
    <n v="1"/>
  </r>
  <r>
    <x v="730"/>
    <n v="1"/>
  </r>
  <r>
    <x v="731"/>
    <n v="1"/>
  </r>
  <r>
    <x v="732"/>
    <n v="1"/>
  </r>
  <r>
    <x v="733"/>
    <n v="1"/>
  </r>
  <r>
    <x v="734"/>
    <n v="1"/>
  </r>
  <r>
    <x v="735"/>
    <n v="1"/>
  </r>
  <r>
    <x v="736"/>
    <n v="1"/>
  </r>
  <r>
    <x v="737"/>
    <n v="1"/>
  </r>
  <r>
    <x v="738"/>
    <n v="1"/>
  </r>
  <r>
    <x v="739"/>
    <n v="1"/>
  </r>
  <r>
    <x v="740"/>
    <n v="1"/>
  </r>
  <r>
    <x v="741"/>
    <n v="1"/>
  </r>
  <r>
    <x v="742"/>
    <n v="1"/>
  </r>
  <r>
    <x v="743"/>
    <n v="1"/>
  </r>
  <r>
    <x v="744"/>
    <n v="1"/>
  </r>
  <r>
    <x v="745"/>
    <n v="2"/>
  </r>
  <r>
    <x v="746"/>
    <n v="1"/>
  </r>
  <r>
    <x v="747"/>
    <n v="1"/>
  </r>
  <r>
    <x v="748"/>
    <n v="3"/>
  </r>
  <r>
    <x v="749"/>
    <n v="1"/>
  </r>
  <r>
    <x v="750"/>
    <n v="1"/>
  </r>
  <r>
    <x v="751"/>
    <n v="1"/>
  </r>
  <r>
    <x v="752"/>
    <n v="1"/>
  </r>
  <r>
    <x v="753"/>
    <n v="1"/>
  </r>
  <r>
    <x v="754"/>
    <n v="1"/>
  </r>
  <r>
    <x v="755"/>
    <n v="1"/>
  </r>
  <r>
    <x v="756"/>
    <n v="1"/>
  </r>
  <r>
    <x v="757"/>
    <n v="1"/>
  </r>
  <r>
    <x v="758"/>
    <n v="1"/>
  </r>
  <r>
    <x v="759"/>
    <n v="1"/>
  </r>
  <r>
    <x v="760"/>
    <n v="1"/>
  </r>
  <r>
    <x v="761"/>
    <n v="1"/>
  </r>
  <r>
    <x v="762"/>
    <n v="1"/>
  </r>
  <r>
    <x v="763"/>
    <n v="1"/>
  </r>
  <r>
    <x v="764"/>
    <n v="1"/>
  </r>
  <r>
    <x v="765"/>
    <n v="1"/>
  </r>
  <r>
    <x v="766"/>
    <n v="1"/>
  </r>
  <r>
    <x v="767"/>
    <n v="1"/>
  </r>
  <r>
    <x v="768"/>
    <n v="1"/>
  </r>
  <r>
    <x v="457"/>
    <n v="6"/>
  </r>
  <r>
    <x v="769"/>
    <n v="1"/>
  </r>
  <r>
    <x v="770"/>
    <n v="1"/>
  </r>
  <r>
    <x v="771"/>
    <n v="1"/>
  </r>
  <r>
    <x v="772"/>
    <n v="1"/>
  </r>
  <r>
    <x v="773"/>
    <n v="1"/>
  </r>
  <r>
    <x v="774"/>
    <n v="1"/>
  </r>
  <r>
    <x v="499"/>
    <n v="3"/>
  </r>
  <r>
    <x v="775"/>
    <n v="1"/>
  </r>
  <r>
    <x v="776"/>
    <n v="1"/>
  </r>
  <r>
    <x v="777"/>
    <n v="1"/>
  </r>
  <r>
    <x v="778"/>
    <n v="1"/>
  </r>
  <r>
    <x v="779"/>
    <n v="1"/>
  </r>
  <r>
    <x v="780"/>
    <n v="1"/>
  </r>
  <r>
    <x v="781"/>
    <n v="1"/>
  </r>
  <r>
    <x v="782"/>
    <n v="1"/>
  </r>
  <r>
    <x v="783"/>
    <n v="1"/>
  </r>
  <r>
    <x v="422"/>
    <n v="2"/>
  </r>
  <r>
    <x v="784"/>
    <n v="1"/>
  </r>
  <r>
    <x v="785"/>
    <n v="1"/>
  </r>
  <r>
    <x v="786"/>
    <n v="1"/>
  </r>
  <r>
    <x v="787"/>
    <n v="1"/>
  </r>
  <r>
    <x v="788"/>
    <n v="1"/>
  </r>
  <r>
    <x v="789"/>
    <n v="1"/>
  </r>
  <r>
    <x v="790"/>
    <n v="1"/>
  </r>
  <r>
    <x v="791"/>
    <n v="1"/>
  </r>
  <r>
    <x v="792"/>
    <n v="1"/>
  </r>
  <r>
    <x v="329"/>
    <n v="3"/>
  </r>
  <r>
    <x v="793"/>
    <n v="1"/>
  </r>
  <r>
    <x v="794"/>
    <n v="1"/>
  </r>
  <r>
    <x v="795"/>
    <n v="1"/>
  </r>
  <r>
    <x v="796"/>
    <n v="1"/>
  </r>
  <r>
    <x v="797"/>
    <n v="1047305"/>
  </r>
  <r>
    <x v="798"/>
    <n v="1"/>
  </r>
  <r>
    <x v="799"/>
    <n v="1"/>
  </r>
  <r>
    <x v="800"/>
    <n v="1"/>
  </r>
  <r>
    <x v="801"/>
    <n v="1"/>
  </r>
  <r>
    <x v="802"/>
    <n v="1"/>
  </r>
  <r>
    <x v="803"/>
    <n v="1"/>
  </r>
  <r>
    <x v="804"/>
    <n v="1"/>
  </r>
  <r>
    <x v="805"/>
    <n v="1"/>
  </r>
  <r>
    <x v="806"/>
    <n v="1"/>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r>
    <x v="80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nalytics" cacheId="3" applyNumberFormats="0" applyBorderFormats="0" applyFontFormats="0" applyPatternFormats="0" applyAlignmentFormats="0" applyWidthHeightFormats="0" dataCaption="" updatedVersion="6" compact="0" compactData="0">
  <location ref="X3:Y812" firstHeaderRow="1" firstDataRow="1" firstDataCol="1"/>
  <pivotFields count="2">
    <pivotField name="List of Companies" axis="axisRow" compact="0" outline="0" multipleItemSelectionAllowed="1" showAll="0" sortType="descending">
      <items count="8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807"/>
        <item x="798"/>
        <item x="799"/>
        <item x="800"/>
        <item x="801"/>
        <item x="802"/>
        <item x="803"/>
        <item x="804"/>
        <item x="805"/>
        <item x="806"/>
        <item x="797"/>
        <item t="default"/>
      </items>
      <autoSortScope>
        <pivotArea>
          <references count="1">
            <reference field="4294967294" count="1">
              <x v="0"/>
            </reference>
          </references>
        </pivotArea>
      </autoSortScope>
    </pivotField>
    <pivotField name="Count" dataField="1" compact="0" outline="0" multipleItemSelectionAllowed="1" showAll="0"/>
  </pivotFields>
  <rowFields count="1">
    <field x="0"/>
  </rowFields>
  <rowItems count="809">
    <i>
      <x v="807"/>
    </i>
    <i>
      <x v="4"/>
    </i>
    <i>
      <x v="91"/>
    </i>
    <i>
      <x v="198"/>
    </i>
    <i>
      <x v="546"/>
    </i>
    <i>
      <x v="263"/>
    </i>
    <i>
      <x v="418"/>
    </i>
    <i>
      <x v="457"/>
    </i>
    <i>
      <x v="392"/>
    </i>
    <i>
      <x v="49"/>
    </i>
    <i>
      <x v="627"/>
    </i>
    <i>
      <x v="322"/>
    </i>
    <i>
      <x v="100"/>
    </i>
    <i>
      <x v="129"/>
    </i>
    <i>
      <x v="165"/>
    </i>
    <i>
      <x v="115"/>
    </i>
    <i>
      <x v="429"/>
    </i>
    <i>
      <x v="282"/>
    </i>
    <i>
      <x v="177"/>
    </i>
    <i>
      <x v="499"/>
    </i>
    <i>
      <x v="461"/>
    </i>
    <i>
      <x v="329"/>
    </i>
    <i>
      <x v="188"/>
    </i>
    <i>
      <x v="36"/>
    </i>
    <i>
      <x v="144"/>
    </i>
    <i>
      <x v="290"/>
    </i>
    <i>
      <x v="415"/>
    </i>
    <i>
      <x v="128"/>
    </i>
    <i>
      <x v="13"/>
    </i>
    <i>
      <x v="99"/>
    </i>
    <i>
      <x v="422"/>
    </i>
    <i>
      <x v="296"/>
    </i>
    <i>
      <x v="360"/>
    </i>
    <i>
      <x v="466"/>
    </i>
    <i>
      <x v="26"/>
    </i>
    <i>
      <x v="186"/>
    </i>
    <i>
      <x v="200"/>
    </i>
    <i>
      <x v="161"/>
    </i>
    <i>
      <x v="687"/>
    </i>
    <i>
      <x v="636"/>
    </i>
    <i>
      <x v="637"/>
    </i>
    <i>
      <x v="748"/>
    </i>
    <i>
      <x v="460"/>
    </i>
    <i>
      <x v="506"/>
    </i>
    <i>
      <x v="424"/>
    </i>
    <i>
      <x v="193"/>
    </i>
    <i>
      <x v="147"/>
    </i>
    <i>
      <x v="58"/>
    </i>
    <i>
      <x v="135"/>
    </i>
    <i>
      <x v="230"/>
    </i>
    <i>
      <x v="614"/>
    </i>
    <i>
      <x v="569"/>
    </i>
    <i>
      <x v="559"/>
    </i>
    <i>
      <x v="583"/>
    </i>
    <i>
      <x v="710"/>
    </i>
    <i>
      <x v="609"/>
    </i>
    <i>
      <x v="745"/>
    </i>
    <i>
      <x v="459"/>
    </i>
    <i>
      <x v="355"/>
    </i>
    <i>
      <x v="344"/>
    </i>
    <i>
      <x v="345"/>
    </i>
    <i>
      <x v="343"/>
    </i>
    <i>
      <x v="505"/>
    </i>
    <i>
      <x v="364"/>
    </i>
    <i>
      <x v="448"/>
    </i>
    <i>
      <x v="327"/>
    </i>
    <i>
      <x v="450"/>
    </i>
    <i>
      <x v="454"/>
    </i>
    <i>
      <x v="350"/>
    </i>
    <i>
      <x v="341"/>
    </i>
    <i>
      <x v="526"/>
    </i>
    <i>
      <x v="243"/>
    </i>
    <i>
      <x v="170"/>
    </i>
    <i>
      <x v="75"/>
    </i>
    <i>
      <x v="219"/>
    </i>
    <i>
      <x v="97"/>
    </i>
    <i>
      <x v="30"/>
    </i>
    <i>
      <x v="52"/>
    </i>
    <i>
      <x v="53"/>
    </i>
    <i>
      <x v="80"/>
    </i>
    <i>
      <x v="25"/>
    </i>
    <i>
      <x v="7"/>
    </i>
    <i>
      <x v="1"/>
    </i>
    <i>
      <x v="51"/>
    </i>
    <i>
      <x v="140"/>
    </i>
    <i>
      <x v="15"/>
    </i>
    <i>
      <x v="61"/>
    </i>
    <i>
      <x v="208"/>
    </i>
    <i>
      <x v="68"/>
    </i>
    <i>
      <x v="221"/>
    </i>
    <i>
      <x v="232"/>
    </i>
    <i>
      <x v="121"/>
    </i>
    <i>
      <x v="20"/>
    </i>
    <i>
      <x v="120"/>
    </i>
    <i>
      <x v="101"/>
    </i>
    <i>
      <x v="268"/>
    </i>
    <i>
      <x v="681"/>
    </i>
    <i>
      <x v="758"/>
    </i>
    <i>
      <x v="713"/>
    </i>
    <i>
      <x v="555"/>
    </i>
    <i>
      <x v="790"/>
    </i>
    <i>
      <x v="556"/>
    </i>
    <i>
      <x v="697"/>
    </i>
    <i>
      <x v="557"/>
    </i>
    <i>
      <x v="729"/>
    </i>
    <i>
      <x v="558"/>
    </i>
    <i>
      <x v="774"/>
    </i>
    <i>
      <x v="543"/>
    </i>
    <i>
      <x v="540"/>
    </i>
    <i>
      <x v="560"/>
    </i>
    <i>
      <x v="689"/>
    </i>
    <i>
      <x v="561"/>
    </i>
    <i>
      <x v="705"/>
    </i>
    <i>
      <x v="562"/>
    </i>
    <i>
      <x v="721"/>
    </i>
    <i>
      <x v="563"/>
    </i>
    <i>
      <x v="737"/>
    </i>
    <i>
      <x v="564"/>
    </i>
    <i>
      <x v="766"/>
    </i>
    <i>
      <x v="565"/>
    </i>
    <i>
      <x v="782"/>
    </i>
    <i>
      <x v="566"/>
    </i>
    <i>
      <x v="799"/>
    </i>
    <i>
      <x v="567"/>
    </i>
    <i>
      <x v="677"/>
    </i>
    <i>
      <x v="568"/>
    </i>
    <i>
      <x v="685"/>
    </i>
    <i>
      <x v="544"/>
    </i>
    <i>
      <x v="693"/>
    </i>
    <i>
      <x v="570"/>
    </i>
    <i>
      <x v="701"/>
    </i>
    <i>
      <x v="571"/>
    </i>
    <i>
      <x v="709"/>
    </i>
    <i>
      <x v="572"/>
    </i>
    <i>
      <x v="717"/>
    </i>
    <i>
      <x v="573"/>
    </i>
    <i>
      <x v="725"/>
    </i>
    <i>
      <x v="574"/>
    </i>
    <i>
      <x v="733"/>
    </i>
    <i>
      <x v="575"/>
    </i>
    <i>
      <x v="741"/>
    </i>
    <i>
      <x v="576"/>
    </i>
    <i>
      <x v="762"/>
    </i>
    <i>
      <x v="577"/>
    </i>
    <i>
      <x v="770"/>
    </i>
    <i>
      <x v="578"/>
    </i>
    <i>
      <x v="778"/>
    </i>
    <i>
      <x v="579"/>
    </i>
    <i>
      <x v="786"/>
    </i>
    <i>
      <x v="580"/>
    </i>
    <i>
      <x v="794"/>
    </i>
    <i>
      <x v="581"/>
    </i>
    <i>
      <x v="803"/>
    </i>
    <i>
      <x v="582"/>
    </i>
    <i>
      <x v="675"/>
    </i>
    <i>
      <x v="545"/>
    </i>
    <i>
      <x v="679"/>
    </i>
    <i>
      <x v="584"/>
    </i>
    <i>
      <x v="683"/>
    </i>
    <i>
      <x v="585"/>
    </i>
    <i>
      <x v="552"/>
    </i>
    <i>
      <x v="586"/>
    </i>
    <i>
      <x v="691"/>
    </i>
    <i>
      <x v="587"/>
    </i>
    <i>
      <x v="695"/>
    </i>
    <i>
      <x v="588"/>
    </i>
    <i>
      <x v="699"/>
    </i>
    <i>
      <x v="589"/>
    </i>
    <i>
      <x v="703"/>
    </i>
    <i>
      <x v="590"/>
    </i>
    <i>
      <x v="707"/>
    </i>
    <i>
      <x v="591"/>
    </i>
    <i>
      <x v="711"/>
    </i>
    <i>
      <x v="592"/>
    </i>
    <i>
      <x v="715"/>
    </i>
    <i>
      <x v="593"/>
    </i>
    <i>
      <x v="719"/>
    </i>
    <i>
      <x v="594"/>
    </i>
    <i>
      <x v="723"/>
    </i>
    <i>
      <x v="595"/>
    </i>
    <i>
      <x v="727"/>
    </i>
    <i>
      <x v="596"/>
    </i>
    <i>
      <x v="731"/>
    </i>
    <i>
      <x v="597"/>
    </i>
    <i>
      <x v="735"/>
    </i>
    <i>
      <x v="598"/>
    </i>
    <i>
      <x v="739"/>
    </i>
    <i>
      <x v="599"/>
    </i>
    <i>
      <x v="743"/>
    </i>
    <i>
      <x v="600"/>
    </i>
    <i>
      <x v="760"/>
    </i>
    <i>
      <x v="601"/>
    </i>
    <i>
      <x v="764"/>
    </i>
    <i>
      <x v="602"/>
    </i>
    <i>
      <x v="768"/>
    </i>
    <i>
      <x v="603"/>
    </i>
    <i>
      <x v="772"/>
    </i>
    <i>
      <x v="604"/>
    </i>
    <i>
      <x v="776"/>
    </i>
    <i>
      <x v="605"/>
    </i>
    <i>
      <x v="780"/>
    </i>
    <i>
      <x v="606"/>
    </i>
    <i>
      <x v="784"/>
    </i>
    <i>
      <x v="607"/>
    </i>
    <i>
      <x v="788"/>
    </i>
    <i>
      <x v="608"/>
    </i>
    <i>
      <x v="792"/>
    </i>
    <i>
      <x v="542"/>
    </i>
    <i>
      <x v="796"/>
    </i>
    <i>
      <x v="610"/>
    </i>
    <i>
      <x v="801"/>
    </i>
    <i>
      <x v="611"/>
    </i>
    <i>
      <x v="805"/>
    </i>
    <i>
      <x v="612"/>
    </i>
    <i>
      <x v="674"/>
    </i>
    <i>
      <x v="613"/>
    </i>
    <i>
      <x v="676"/>
    </i>
    <i>
      <x v="547"/>
    </i>
    <i>
      <x v="678"/>
    </i>
    <i>
      <x v="615"/>
    </i>
    <i>
      <x v="680"/>
    </i>
    <i>
      <x v="616"/>
    </i>
    <i>
      <x v="682"/>
    </i>
    <i>
      <x v="617"/>
    </i>
    <i>
      <x v="684"/>
    </i>
    <i>
      <x v="618"/>
    </i>
    <i>
      <x v="686"/>
    </i>
    <i>
      <x v="619"/>
    </i>
    <i>
      <x v="688"/>
    </i>
    <i>
      <x v="620"/>
    </i>
    <i>
      <x v="690"/>
    </i>
    <i>
      <x v="621"/>
    </i>
    <i>
      <x v="692"/>
    </i>
    <i>
      <x v="622"/>
    </i>
    <i>
      <x v="694"/>
    </i>
    <i>
      <x v="623"/>
    </i>
    <i>
      <x v="696"/>
    </i>
    <i>
      <x v="624"/>
    </i>
    <i>
      <x v="698"/>
    </i>
    <i>
      <x v="625"/>
    </i>
    <i>
      <x v="700"/>
    </i>
    <i>
      <x v="626"/>
    </i>
    <i>
      <x v="702"/>
    </i>
    <i>
      <x v="548"/>
    </i>
    <i>
      <x v="704"/>
    </i>
    <i>
      <x v="628"/>
    </i>
    <i>
      <x v="706"/>
    </i>
    <i>
      <x v="629"/>
    </i>
    <i>
      <x v="708"/>
    </i>
    <i>
      <x v="630"/>
    </i>
    <i>
      <x v="553"/>
    </i>
    <i>
      <x v="631"/>
    </i>
    <i>
      <x v="712"/>
    </i>
    <i>
      <x v="632"/>
    </i>
    <i>
      <x v="714"/>
    </i>
    <i>
      <x v="633"/>
    </i>
    <i>
      <x v="716"/>
    </i>
    <i>
      <x v="634"/>
    </i>
    <i>
      <x v="718"/>
    </i>
    <i>
      <x v="635"/>
    </i>
    <i>
      <x v="720"/>
    </i>
    <i>
      <x v="549"/>
    </i>
    <i>
      <x v="722"/>
    </i>
    <i>
      <x v="550"/>
    </i>
    <i>
      <x v="724"/>
    </i>
    <i>
      <x v="638"/>
    </i>
    <i>
      <x v="726"/>
    </i>
    <i>
      <x v="639"/>
    </i>
    <i>
      <x v="728"/>
    </i>
    <i>
      <x v="640"/>
    </i>
    <i>
      <x v="730"/>
    </i>
    <i>
      <x v="641"/>
    </i>
    <i>
      <x v="732"/>
    </i>
    <i>
      <x v="744"/>
    </i>
    <i>
      <x v="734"/>
    </i>
    <i>
      <x v="746"/>
    </i>
    <i>
      <x v="736"/>
    </i>
    <i>
      <x v="551"/>
    </i>
    <i>
      <x v="738"/>
    </i>
    <i>
      <x v="750"/>
    </i>
    <i>
      <x v="740"/>
    </i>
    <i>
      <x v="752"/>
    </i>
    <i>
      <x v="742"/>
    </i>
    <i>
      <x v="754"/>
    </i>
    <i>
      <x v="554"/>
    </i>
    <i>
      <x v="756"/>
    </i>
    <i>
      <x v="642"/>
    </i>
    <i>
      <x v="747"/>
    </i>
    <i>
      <x v="643"/>
    </i>
    <i>
      <x v="749"/>
    </i>
    <i>
      <x v="644"/>
    </i>
    <i>
      <x v="751"/>
    </i>
    <i>
      <x v="645"/>
    </i>
    <i>
      <x v="753"/>
    </i>
    <i>
      <x v="646"/>
    </i>
    <i>
      <x v="755"/>
    </i>
    <i>
      <x v="647"/>
    </i>
    <i>
      <x v="757"/>
    </i>
    <i>
      <x v="648"/>
    </i>
    <i>
      <x v="759"/>
    </i>
    <i>
      <x v="649"/>
    </i>
    <i>
      <x v="761"/>
    </i>
    <i>
      <x v="650"/>
    </i>
    <i>
      <x v="763"/>
    </i>
    <i>
      <x v="651"/>
    </i>
    <i>
      <x v="765"/>
    </i>
    <i>
      <x v="652"/>
    </i>
    <i>
      <x v="767"/>
    </i>
    <i>
      <x v="653"/>
    </i>
    <i>
      <x v="769"/>
    </i>
    <i>
      <x v="654"/>
    </i>
    <i>
      <x v="771"/>
    </i>
    <i>
      <x v="655"/>
    </i>
    <i>
      <x v="773"/>
    </i>
    <i>
      <x v="656"/>
    </i>
    <i>
      <x v="775"/>
    </i>
    <i>
      <x v="657"/>
    </i>
    <i>
      <x v="777"/>
    </i>
    <i>
      <x v="658"/>
    </i>
    <i>
      <x v="779"/>
    </i>
    <i>
      <x v="659"/>
    </i>
    <i>
      <x v="781"/>
    </i>
    <i>
      <x v="660"/>
    </i>
    <i>
      <x v="783"/>
    </i>
    <i>
      <x v="661"/>
    </i>
    <i>
      <x v="785"/>
    </i>
    <i>
      <x v="662"/>
    </i>
    <i>
      <x v="787"/>
    </i>
    <i>
      <x v="663"/>
    </i>
    <i>
      <x v="789"/>
    </i>
    <i>
      <x v="664"/>
    </i>
    <i>
      <x v="791"/>
    </i>
    <i>
      <x v="665"/>
    </i>
    <i>
      <x v="793"/>
    </i>
    <i>
      <x v="666"/>
    </i>
    <i>
      <x v="795"/>
    </i>
    <i>
      <x v="667"/>
    </i>
    <i>
      <x v="798"/>
    </i>
    <i>
      <x v="668"/>
    </i>
    <i>
      <x v="800"/>
    </i>
    <i>
      <x v="669"/>
    </i>
    <i>
      <x v="802"/>
    </i>
    <i>
      <x v="670"/>
    </i>
    <i>
      <x v="804"/>
    </i>
    <i>
      <x v="671"/>
    </i>
    <i>
      <x v="541"/>
    </i>
    <i>
      <x v="806"/>
    </i>
    <i>
      <x v="672"/>
    </i>
    <i>
      <x v="673"/>
    </i>
    <i>
      <x v="272"/>
    </i>
    <i>
      <x v="493"/>
    </i>
    <i>
      <x v="297"/>
    </i>
    <i>
      <x v="303"/>
    </i>
    <i>
      <x v="302"/>
    </i>
    <i>
      <x v="304"/>
    </i>
    <i>
      <x v="445"/>
    </i>
    <i>
      <x v="305"/>
    </i>
    <i>
      <x v="477"/>
    </i>
    <i>
      <x v="306"/>
    </i>
    <i>
      <x v="509"/>
    </i>
    <i>
      <x v="307"/>
    </i>
    <i>
      <x v="421"/>
    </i>
    <i>
      <x v="308"/>
    </i>
    <i>
      <x v="437"/>
    </i>
    <i>
      <x v="309"/>
    </i>
    <i>
      <x v="453"/>
    </i>
    <i>
      <x v="310"/>
    </i>
    <i>
      <x v="469"/>
    </i>
    <i>
      <x v="311"/>
    </i>
    <i>
      <x v="485"/>
    </i>
    <i>
      <x v="312"/>
    </i>
    <i>
      <x v="501"/>
    </i>
    <i>
      <x v="313"/>
    </i>
    <i>
      <x v="517"/>
    </i>
    <i>
      <x v="314"/>
    </i>
    <i>
      <x v="417"/>
    </i>
    <i>
      <x v="315"/>
    </i>
    <i>
      <x v="425"/>
    </i>
    <i>
      <x v="316"/>
    </i>
    <i>
      <x v="433"/>
    </i>
    <i>
      <x v="317"/>
    </i>
    <i>
      <x v="441"/>
    </i>
    <i>
      <x v="318"/>
    </i>
    <i>
      <x v="449"/>
    </i>
    <i>
      <x v="319"/>
    </i>
    <i>
      <x v="294"/>
    </i>
    <i>
      <x v="320"/>
    </i>
    <i>
      <x v="465"/>
    </i>
    <i>
      <x v="321"/>
    </i>
    <i>
      <x v="473"/>
    </i>
    <i>
      <x v="274"/>
    </i>
    <i>
      <x v="481"/>
    </i>
    <i>
      <x v="323"/>
    </i>
    <i>
      <x v="489"/>
    </i>
    <i>
      <x v="324"/>
    </i>
    <i>
      <x v="497"/>
    </i>
    <i>
      <x v="325"/>
    </i>
    <i>
      <x v="300"/>
    </i>
    <i>
      <x v="326"/>
    </i>
    <i>
      <x v="513"/>
    </i>
    <i>
      <x v="275"/>
    </i>
    <i>
      <x v="521"/>
    </i>
    <i>
      <x v="328"/>
    </i>
    <i>
      <x v="286"/>
    </i>
    <i>
      <x v="276"/>
    </i>
    <i>
      <x v="419"/>
    </i>
    <i>
      <x v="330"/>
    </i>
    <i>
      <x v="423"/>
    </i>
    <i>
      <x v="331"/>
    </i>
    <i>
      <x v="427"/>
    </i>
    <i>
      <x v="332"/>
    </i>
    <i>
      <x v="431"/>
    </i>
    <i>
      <x v="333"/>
    </i>
    <i>
      <x v="435"/>
    </i>
    <i>
      <x v="334"/>
    </i>
    <i>
      <x v="439"/>
    </i>
    <i>
      <x v="335"/>
    </i>
    <i>
      <x v="443"/>
    </i>
    <i>
      <x v="336"/>
    </i>
    <i>
      <x v="447"/>
    </i>
    <i>
      <x v="337"/>
    </i>
    <i>
      <x v="451"/>
    </i>
    <i>
      <x v="338"/>
    </i>
    <i>
      <x v="455"/>
    </i>
    <i>
      <x v="339"/>
    </i>
    <i>
      <x v="295"/>
    </i>
    <i>
      <x v="340"/>
    </i>
    <i>
      <x v="463"/>
    </i>
    <i>
      <x v="277"/>
    </i>
    <i>
      <x v="467"/>
    </i>
    <i>
      <x v="342"/>
    </i>
    <i>
      <x v="471"/>
    </i>
    <i>
      <x v="278"/>
    </i>
    <i>
      <x v="475"/>
    </i>
    <i>
      <x v="279"/>
    </i>
    <i>
      <x v="479"/>
    </i>
    <i>
      <x v="280"/>
    </i>
    <i>
      <x v="483"/>
    </i>
    <i>
      <x v="346"/>
    </i>
    <i>
      <x v="487"/>
    </i>
    <i>
      <x v="347"/>
    </i>
    <i>
      <x v="491"/>
    </i>
    <i>
      <x v="348"/>
    </i>
    <i>
      <x v="495"/>
    </i>
    <i>
      <x v="349"/>
    </i>
    <i>
      <x v="299"/>
    </i>
    <i>
      <x v="281"/>
    </i>
    <i>
      <x v="503"/>
    </i>
    <i>
      <x v="351"/>
    </i>
    <i>
      <x v="507"/>
    </i>
    <i>
      <x v="352"/>
    </i>
    <i>
      <x v="511"/>
    </i>
    <i>
      <x v="353"/>
    </i>
    <i>
      <x v="515"/>
    </i>
    <i>
      <x v="354"/>
    </i>
    <i>
      <x v="519"/>
    </i>
    <i>
      <x v="271"/>
    </i>
    <i>
      <x v="523"/>
    </i>
    <i>
      <x v="356"/>
    </i>
    <i>
      <x v="414"/>
    </i>
    <i>
      <x v="357"/>
    </i>
    <i>
      <x v="416"/>
    </i>
    <i>
      <x v="358"/>
    </i>
    <i>
      <x v="287"/>
    </i>
    <i>
      <x v="359"/>
    </i>
    <i>
      <x v="420"/>
    </i>
    <i>
      <x v="283"/>
    </i>
    <i>
      <x v="288"/>
    </i>
    <i>
      <x v="361"/>
    </i>
    <i>
      <x v="289"/>
    </i>
    <i>
      <x v="362"/>
    </i>
    <i>
      <x v="426"/>
    </i>
    <i>
      <x v="363"/>
    </i>
    <i>
      <x v="428"/>
    </i>
    <i>
      <x v="284"/>
    </i>
    <i>
      <x v="430"/>
    </i>
    <i>
      <x v="365"/>
    </i>
    <i>
      <x v="432"/>
    </i>
    <i>
      <x v="366"/>
    </i>
    <i>
      <x v="434"/>
    </i>
    <i>
      <x v="367"/>
    </i>
    <i>
      <x v="436"/>
    </i>
    <i>
      <x v="368"/>
    </i>
    <i>
      <x v="438"/>
    </i>
    <i>
      <x v="369"/>
    </i>
    <i>
      <x v="440"/>
    </i>
    <i>
      <x v="370"/>
    </i>
    <i>
      <x v="442"/>
    </i>
    <i>
      <x v="371"/>
    </i>
    <i>
      <x v="444"/>
    </i>
    <i>
      <x v="372"/>
    </i>
    <i>
      <x v="446"/>
    </i>
    <i>
      <x v="373"/>
    </i>
    <i>
      <x v="291"/>
    </i>
    <i>
      <x v="374"/>
    </i>
    <i>
      <x v="292"/>
    </i>
    <i>
      <x v="375"/>
    </i>
    <i>
      <x v="452"/>
    </i>
    <i>
      <x v="376"/>
    </i>
    <i>
      <x v="293"/>
    </i>
    <i>
      <x v="377"/>
    </i>
    <i>
      <x v="456"/>
    </i>
    <i>
      <x v="378"/>
    </i>
    <i>
      <x v="458"/>
    </i>
    <i>
      <x v="379"/>
    </i>
    <i>
      <x v="273"/>
    </i>
    <i>
      <x v="380"/>
    </i>
    <i>
      <x v="462"/>
    </i>
    <i>
      <x v="381"/>
    </i>
    <i>
      <x v="464"/>
    </i>
    <i>
      <x v="382"/>
    </i>
    <i>
      <x v="298"/>
    </i>
    <i>
      <x v="383"/>
    </i>
    <i>
      <x v="468"/>
    </i>
    <i>
      <x v="384"/>
    </i>
    <i>
      <x v="470"/>
    </i>
    <i>
      <x v="385"/>
    </i>
    <i>
      <x v="472"/>
    </i>
    <i>
      <x v="386"/>
    </i>
    <i>
      <x v="474"/>
    </i>
    <i>
      <x v="387"/>
    </i>
    <i>
      <x v="476"/>
    </i>
    <i>
      <x v="388"/>
    </i>
    <i>
      <x v="478"/>
    </i>
    <i>
      <x v="389"/>
    </i>
    <i>
      <x v="480"/>
    </i>
    <i>
      <x v="390"/>
    </i>
    <i>
      <x v="482"/>
    </i>
    <i>
      <x v="391"/>
    </i>
    <i>
      <x v="484"/>
    </i>
    <i>
      <x v="285"/>
    </i>
    <i>
      <x v="486"/>
    </i>
    <i>
      <x v="393"/>
    </i>
    <i>
      <x v="488"/>
    </i>
    <i>
      <x v="394"/>
    </i>
    <i>
      <x v="490"/>
    </i>
    <i>
      <x v="395"/>
    </i>
    <i>
      <x v="492"/>
    </i>
    <i>
      <x v="396"/>
    </i>
    <i>
      <x v="494"/>
    </i>
    <i>
      <x v="525"/>
    </i>
    <i>
      <x v="496"/>
    </i>
    <i>
      <x v="527"/>
    </i>
    <i>
      <x v="498"/>
    </i>
    <i>
      <x v="529"/>
    </i>
    <i>
      <x v="500"/>
    </i>
    <i>
      <x v="531"/>
    </i>
    <i>
      <x v="502"/>
    </i>
    <i>
      <x v="533"/>
    </i>
    <i>
      <x v="504"/>
    </i>
    <i>
      <x v="535"/>
    </i>
    <i>
      <x v="301"/>
    </i>
    <i>
      <x v="537"/>
    </i>
    <i>
      <x v="508"/>
    </i>
    <i>
      <x v="539"/>
    </i>
    <i>
      <x v="510"/>
    </i>
    <i>
      <x v="405"/>
    </i>
    <i>
      <x v="512"/>
    </i>
    <i>
      <x v="406"/>
    </i>
    <i>
      <x v="514"/>
    </i>
    <i>
      <x v="407"/>
    </i>
    <i>
      <x v="516"/>
    </i>
    <i>
      <x v="408"/>
    </i>
    <i>
      <x v="518"/>
    </i>
    <i>
      <x v="409"/>
    </i>
    <i>
      <x v="520"/>
    </i>
    <i>
      <x v="410"/>
    </i>
    <i>
      <x v="522"/>
    </i>
    <i>
      <x v="411"/>
    </i>
    <i>
      <x v="524"/>
    </i>
    <i>
      <x v="412"/>
    </i>
    <i>
      <x v="413"/>
    </i>
    <i>
      <x v="397"/>
    </i>
    <i>
      <x v="528"/>
    </i>
    <i>
      <x v="398"/>
    </i>
    <i>
      <x v="530"/>
    </i>
    <i>
      <x v="399"/>
    </i>
    <i>
      <x v="532"/>
    </i>
    <i>
      <x v="400"/>
    </i>
    <i>
      <x v="534"/>
    </i>
    <i>
      <x v="401"/>
    </i>
    <i>
      <x v="536"/>
    </i>
    <i>
      <x v="402"/>
    </i>
    <i>
      <x v="538"/>
    </i>
    <i>
      <x v="403"/>
    </i>
    <i>
      <x v="270"/>
    </i>
    <i>
      <x v="404"/>
    </i>
    <i>
      <x v="37"/>
    </i>
    <i>
      <x v="241"/>
    </i>
    <i>
      <x v="209"/>
    </i>
    <i>
      <x v="12"/>
    </i>
    <i>
      <x v="34"/>
    </i>
    <i>
      <x v="2"/>
    </i>
    <i>
      <x v="40"/>
    </i>
    <i>
      <x v="14"/>
    </i>
    <i>
      <x v="225"/>
    </i>
    <i>
      <x v="54"/>
    </i>
    <i>
      <x v="257"/>
    </i>
    <i>
      <x v="55"/>
    </i>
    <i>
      <x v="169"/>
    </i>
    <i>
      <x v="56"/>
    </i>
    <i>
      <x v="185"/>
    </i>
    <i>
      <x v="57"/>
    </i>
    <i>
      <x v="201"/>
    </i>
    <i>
      <x v="5"/>
    </i>
    <i>
      <x v="217"/>
    </i>
    <i>
      <x v="59"/>
    </i>
    <i>
      <x v="233"/>
    </i>
    <i>
      <x v="60"/>
    </i>
    <i>
      <x v="249"/>
    </i>
    <i>
      <x v="16"/>
    </i>
    <i>
      <x v="265"/>
    </i>
    <i>
      <x v="62"/>
    </i>
    <i>
      <x v="35"/>
    </i>
    <i>
      <x v="63"/>
    </i>
    <i>
      <x v="173"/>
    </i>
    <i>
      <x v="64"/>
    </i>
    <i>
      <x v="181"/>
    </i>
    <i>
      <x v="65"/>
    </i>
    <i>
      <x v="189"/>
    </i>
    <i>
      <x v="66"/>
    </i>
    <i>
      <x v="197"/>
    </i>
    <i>
      <x v="67"/>
    </i>
    <i>
      <x v="205"/>
    </i>
    <i>
      <x v="17"/>
    </i>
    <i>
      <x v="213"/>
    </i>
    <i>
      <x v="69"/>
    </i>
    <i>
      <x v="45"/>
    </i>
    <i>
      <x v="70"/>
    </i>
    <i>
      <x v="229"/>
    </i>
    <i>
      <x v="71"/>
    </i>
    <i>
      <x v="237"/>
    </i>
    <i>
      <x v="72"/>
    </i>
    <i>
      <x v="245"/>
    </i>
    <i>
      <x v="73"/>
    </i>
    <i>
      <x v="253"/>
    </i>
    <i>
      <x v="74"/>
    </i>
    <i>
      <x v="261"/>
    </i>
    <i>
      <x v="18"/>
    </i>
    <i>
      <x v="159"/>
    </i>
    <i>
      <x v="76"/>
    </i>
    <i>
      <x v="163"/>
    </i>
    <i>
      <x v="77"/>
    </i>
    <i>
      <x v="167"/>
    </i>
    <i>
      <x v="78"/>
    </i>
    <i>
      <x v="171"/>
    </i>
    <i>
      <x v="79"/>
    </i>
    <i>
      <x v="175"/>
    </i>
    <i>
      <x v="19"/>
    </i>
    <i>
      <x v="179"/>
    </i>
    <i>
      <x v="81"/>
    </i>
    <i>
      <x v="183"/>
    </i>
    <i>
      <x v="82"/>
    </i>
    <i>
      <x v="187"/>
    </i>
    <i>
      <x v="83"/>
    </i>
    <i>
      <x v="191"/>
    </i>
    <i>
      <x v="84"/>
    </i>
    <i>
      <x v="195"/>
    </i>
    <i>
      <x v="85"/>
    </i>
    <i>
      <x v="199"/>
    </i>
    <i>
      <x v="86"/>
    </i>
    <i>
      <x v="203"/>
    </i>
    <i>
      <x v="87"/>
    </i>
    <i>
      <x v="207"/>
    </i>
    <i>
      <x v="88"/>
    </i>
    <i>
      <x v="211"/>
    </i>
    <i>
      <x v="89"/>
    </i>
    <i>
      <x v="215"/>
    </i>
    <i>
      <x v="90"/>
    </i>
    <i>
      <x v="44"/>
    </i>
    <i>
      <x v="6"/>
    </i>
    <i>
      <x v="223"/>
    </i>
    <i>
      <x v="92"/>
    </i>
    <i>
      <x v="227"/>
    </i>
    <i>
      <x v="93"/>
    </i>
    <i>
      <x v="231"/>
    </i>
    <i>
      <x v="94"/>
    </i>
    <i>
      <x v="235"/>
    </i>
    <i>
      <x v="95"/>
    </i>
    <i>
      <x v="239"/>
    </i>
    <i>
      <x v="96"/>
    </i>
    <i>
      <x v="48"/>
    </i>
    <i>
      <x v="21"/>
    </i>
    <i>
      <x v="247"/>
    </i>
    <i>
      <x v="98"/>
    </i>
    <i>
      <x v="251"/>
    </i>
    <i>
      <x v="22"/>
    </i>
    <i>
      <x v="255"/>
    </i>
    <i>
      <x v="23"/>
    </i>
    <i>
      <x v="259"/>
    </i>
    <i>
      <x v="24"/>
    </i>
    <i>
      <x v="11"/>
    </i>
    <i>
      <x v="102"/>
    </i>
    <i>
      <x v="50"/>
    </i>
    <i>
      <x v="103"/>
    </i>
    <i>
      <x v="160"/>
    </i>
    <i>
      <x v="104"/>
    </i>
    <i>
      <x v="162"/>
    </i>
    <i>
      <x v="105"/>
    </i>
    <i>
      <x v="164"/>
    </i>
    <i>
      <x v="106"/>
    </i>
    <i>
      <x v="166"/>
    </i>
    <i>
      <x v="107"/>
    </i>
    <i>
      <x v="168"/>
    </i>
    <i>
      <x v="108"/>
    </i>
    <i>
      <x v="10"/>
    </i>
    <i>
      <x v="109"/>
    </i>
    <i>
      <x v="172"/>
    </i>
    <i>
      <x v="110"/>
    </i>
    <i>
      <x v="174"/>
    </i>
    <i>
      <x v="111"/>
    </i>
    <i>
      <x v="176"/>
    </i>
    <i>
      <x v="112"/>
    </i>
    <i>
      <x v="178"/>
    </i>
    <i>
      <x v="113"/>
    </i>
    <i>
      <x v="180"/>
    </i>
    <i>
      <x v="114"/>
    </i>
    <i>
      <x v="182"/>
    </i>
    <i>
      <x v="3"/>
    </i>
    <i>
      <x v="184"/>
    </i>
    <i>
      <x v="116"/>
    </i>
    <i>
      <x v="38"/>
    </i>
    <i>
      <x v="117"/>
    </i>
    <i>
      <x v="39"/>
    </i>
    <i>
      <x v="118"/>
    </i>
    <i>
      <x v="190"/>
    </i>
    <i>
      <x v="119"/>
    </i>
    <i>
      <x v="192"/>
    </i>
    <i>
      <x v="8"/>
    </i>
    <i>
      <x v="194"/>
    </i>
    <i>
      <x v="27"/>
    </i>
    <i>
      <x v="196"/>
    </i>
    <i>
      <x v="122"/>
    </i>
    <i>
      <x v="41"/>
    </i>
    <i>
      <x v="123"/>
    </i>
    <i>
      <x v="42"/>
    </i>
    <i>
      <x v="124"/>
    </i>
    <i>
      <x v="202"/>
    </i>
    <i>
      <x v="125"/>
    </i>
    <i>
      <x v="204"/>
    </i>
    <i>
      <x v="126"/>
    </i>
    <i>
      <x v="206"/>
    </i>
    <i>
      <x v="127"/>
    </i>
    <i>
      <x v="43"/>
    </i>
    <i>
      <x v="28"/>
    </i>
    <i>
      <x v="210"/>
    </i>
    <i>
      <x v="29"/>
    </i>
    <i>
      <x v="212"/>
    </i>
    <i>
      <x v="130"/>
    </i>
    <i>
      <x v="214"/>
    </i>
    <i>
      <x v="131"/>
    </i>
    <i>
      <x v="216"/>
    </i>
    <i>
      <x v="132"/>
    </i>
    <i>
      <x v="218"/>
    </i>
    <i>
      <x v="267"/>
    </i>
    <i>
      <x v="220"/>
    </i>
    <i>
      <x v="269"/>
    </i>
    <i>
      <x v="222"/>
    </i>
    <i>
      <x v="9"/>
    </i>
    <i>
      <x v="224"/>
    </i>
    <i>
      <x v="136"/>
    </i>
    <i>
      <x v="226"/>
    </i>
    <i>
      <x v="137"/>
    </i>
    <i>
      <x v="228"/>
    </i>
    <i>
      <x v="138"/>
    </i>
    <i>
      <x v="46"/>
    </i>
    <i>
      <x v="139"/>
    </i>
    <i>
      <x v="47"/>
    </i>
    <i>
      <x v="31"/>
    </i>
    <i>
      <x v="234"/>
    </i>
    <i>
      <x v="141"/>
    </i>
    <i>
      <x v="236"/>
    </i>
    <i>
      <x v="142"/>
    </i>
    <i>
      <x v="238"/>
    </i>
    <i>
      <x v="143"/>
    </i>
    <i>
      <x v="240"/>
    </i>
    <i>
      <x v="32"/>
    </i>
    <i>
      <x v="242"/>
    </i>
    <i>
      <x v="145"/>
    </i>
    <i>
      <x v="244"/>
    </i>
    <i>
      <x v="146"/>
    </i>
    <i>
      <x v="246"/>
    </i>
    <i>
      <x v="33"/>
    </i>
    <i>
      <x v="248"/>
    </i>
    <i>
      <x v="148"/>
    </i>
    <i>
      <x v="250"/>
    </i>
    <i>
      <x v="149"/>
    </i>
    <i>
      <x v="252"/>
    </i>
    <i>
      <x v="150"/>
    </i>
    <i>
      <x v="254"/>
    </i>
    <i>
      <x v="151"/>
    </i>
    <i>
      <x v="256"/>
    </i>
    <i>
      <x v="152"/>
    </i>
    <i>
      <x v="258"/>
    </i>
    <i>
      <x v="153"/>
    </i>
    <i>
      <x v="260"/>
    </i>
    <i>
      <x v="154"/>
    </i>
    <i>
      <x v="262"/>
    </i>
    <i>
      <x v="155"/>
    </i>
    <i>
      <x v="264"/>
    </i>
    <i>
      <x v="156"/>
    </i>
    <i>
      <x v="266"/>
    </i>
    <i>
      <x v="157"/>
    </i>
    <i>
      <x v="158"/>
    </i>
    <i>
      <x v="133"/>
    </i>
    <i>
      <x/>
    </i>
    <i>
      <x v="134"/>
    </i>
    <i>
      <x v="797"/>
    </i>
    <i t="grand">
      <x/>
    </i>
  </rowItems>
  <colItems count="1">
    <i/>
  </colItems>
  <dataFields count="1">
    <dataField name="SUM of Count"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zenyum.com/" TargetMode="External"/><Relationship Id="rId13" Type="http://schemas.openxmlformats.org/officeDocument/2006/relationships/hyperlink" Target="http://www.inmagine.com/" TargetMode="External"/><Relationship Id="rId3" Type="http://schemas.openxmlformats.org/officeDocument/2006/relationships/hyperlink" Target="http://www.crowde.co/" TargetMode="External"/><Relationship Id="rId7" Type="http://schemas.openxmlformats.org/officeDocument/2006/relationships/hyperlink" Target="https://www.holistics.io/" TargetMode="External"/><Relationship Id="rId12" Type="http://schemas.openxmlformats.org/officeDocument/2006/relationships/hyperlink" Target="http://sehatq.com/" TargetMode="External"/><Relationship Id="rId2" Type="http://schemas.openxmlformats.org/officeDocument/2006/relationships/hyperlink" Target="http://www.futurelabs.vc/" TargetMode="External"/><Relationship Id="rId16" Type="http://schemas.openxmlformats.org/officeDocument/2006/relationships/hyperlink" Target="http://storial.co/" TargetMode="External"/><Relationship Id="rId1" Type="http://schemas.openxmlformats.org/officeDocument/2006/relationships/hyperlink" Target="http://www.rainmaking.io/" TargetMode="External"/><Relationship Id="rId6" Type="http://schemas.openxmlformats.org/officeDocument/2006/relationships/hyperlink" Target="https://forms.gle/GBDo51t4C55fUgbK8" TargetMode="External"/><Relationship Id="rId11" Type="http://schemas.openxmlformats.org/officeDocument/2006/relationships/hyperlink" Target="http://mamikos.com/" TargetMode="External"/><Relationship Id="rId5" Type="http://schemas.openxmlformats.org/officeDocument/2006/relationships/hyperlink" Target="http://www.heveaconnect.com/" TargetMode="External"/><Relationship Id="rId15" Type="http://schemas.openxmlformats.org/officeDocument/2006/relationships/hyperlink" Target="http://telunjuk.com/" TargetMode="External"/><Relationship Id="rId10" Type="http://schemas.openxmlformats.org/officeDocument/2006/relationships/hyperlink" Target="https://saisoncapital.com/" TargetMode="External"/><Relationship Id="rId4" Type="http://schemas.openxmlformats.org/officeDocument/2006/relationships/hyperlink" Target="http://www.sgcarmart.com/" TargetMode="External"/><Relationship Id="rId9" Type="http://schemas.openxmlformats.org/officeDocument/2006/relationships/hyperlink" Target="http://www.hreasily.com/" TargetMode="External"/><Relationship Id="rId14" Type="http://schemas.openxmlformats.org/officeDocument/2006/relationships/hyperlink" Target="http://shipper.id/"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linkedin.com/mwlite/in/lilingy" TargetMode="External"/><Relationship Id="rId170" Type="http://schemas.openxmlformats.org/officeDocument/2006/relationships/hyperlink" Target="https://www.linkedin.com/in/emily-wu-singapore/" TargetMode="External"/><Relationship Id="rId268" Type="http://schemas.openxmlformats.org/officeDocument/2006/relationships/hyperlink" Target="https://www.linkedin.com/in/xanditkoff/" TargetMode="External"/><Relationship Id="rId475" Type="http://schemas.openxmlformats.org/officeDocument/2006/relationships/hyperlink" Target="https://www.linkedin.com/in/giraspasopati/" TargetMode="External"/><Relationship Id="rId682" Type="http://schemas.openxmlformats.org/officeDocument/2006/relationships/hyperlink" Target="https://linkedin.com/in/cedricchee" TargetMode="External"/><Relationship Id="rId128" Type="http://schemas.openxmlformats.org/officeDocument/2006/relationships/hyperlink" Target="https://id.linkedin.com/in/elikusmayadi" TargetMode="External"/><Relationship Id="rId335" Type="http://schemas.openxmlformats.org/officeDocument/2006/relationships/hyperlink" Target="https://sg.linkedin.com/in/wandisusanto" TargetMode="External"/><Relationship Id="rId542" Type="http://schemas.openxmlformats.org/officeDocument/2006/relationships/hyperlink" Target="http://www.linkedin.com/in/jimmyirawan" TargetMode="External"/><Relationship Id="rId987" Type="http://schemas.openxmlformats.org/officeDocument/2006/relationships/hyperlink" Target="http://www.linkedin.com/in/argawirandika" TargetMode="External"/><Relationship Id="rId1172" Type="http://schemas.openxmlformats.org/officeDocument/2006/relationships/hyperlink" Target="https://www.linkedin.com/in/yohanes-yogie-037ba0139/" TargetMode="External"/><Relationship Id="rId402" Type="http://schemas.openxmlformats.org/officeDocument/2006/relationships/hyperlink" Target="https://www.linkedin.com/in/wuttinat/" TargetMode="External"/><Relationship Id="rId847" Type="http://schemas.openxmlformats.org/officeDocument/2006/relationships/hyperlink" Target="https://www.linkedin.com/in/yixinyap/" TargetMode="External"/><Relationship Id="rId1032" Type="http://schemas.openxmlformats.org/officeDocument/2006/relationships/hyperlink" Target="https://www.linkedin.com/in/nivenabridiasadikin/https:/www.linkedin.com/in/nivenabridiasadikin/" TargetMode="External"/><Relationship Id="rId707" Type="http://schemas.openxmlformats.org/officeDocument/2006/relationships/hyperlink" Target="https://www.linkedin.com/in/mimi-nguyen" TargetMode="External"/><Relationship Id="rId914" Type="http://schemas.openxmlformats.org/officeDocument/2006/relationships/hyperlink" Target="https://www.linkedin.com/in/theresa-teh-eugenee-a77a0b96/" TargetMode="External"/><Relationship Id="rId43" Type="http://schemas.openxmlformats.org/officeDocument/2006/relationships/hyperlink" Target="https://www.linkedin.com/in/abimanyu-bimantoro-803a4668/" TargetMode="External"/><Relationship Id="rId192" Type="http://schemas.openxmlformats.org/officeDocument/2006/relationships/hyperlink" Target="https://www.linkedin.com/in/melvin-tan-wm/" TargetMode="External"/><Relationship Id="rId497" Type="http://schemas.openxmlformats.org/officeDocument/2006/relationships/hyperlink" Target="https://www.linkedin.com/in/jerryoktaviano/" TargetMode="External"/><Relationship Id="rId357" Type="http://schemas.openxmlformats.org/officeDocument/2006/relationships/hyperlink" Target="https://www.linkedin.com/in/terryngoldman/" TargetMode="External"/><Relationship Id="rId1194" Type="http://schemas.openxmlformats.org/officeDocument/2006/relationships/hyperlink" Target="https://www.linkedin.com/in/yosiaz/" TargetMode="External"/><Relationship Id="rId217" Type="http://schemas.openxmlformats.org/officeDocument/2006/relationships/hyperlink" Target="https://www.linkedin.com/mwlite/in/ashish-mahajan-5661067" TargetMode="External"/><Relationship Id="rId564" Type="http://schemas.openxmlformats.org/officeDocument/2006/relationships/hyperlink" Target="https://www.linkedin.com/in/malav-desai-41989763/" TargetMode="External"/><Relationship Id="rId771" Type="http://schemas.openxmlformats.org/officeDocument/2006/relationships/hyperlink" Target="https://www.linkedin.com/in/stuartbuyers/" TargetMode="External"/><Relationship Id="rId869" Type="http://schemas.openxmlformats.org/officeDocument/2006/relationships/hyperlink" Target="https://www.linkedin.com/in/andretorres/" TargetMode="External"/><Relationship Id="rId424" Type="http://schemas.openxmlformats.org/officeDocument/2006/relationships/hyperlink" Target="https://www.linkedin.com/in/minhkhuele/" TargetMode="External"/><Relationship Id="rId631" Type="http://schemas.openxmlformats.org/officeDocument/2006/relationships/hyperlink" Target="https://www.linkedin.com/in/modymrunal" TargetMode="External"/><Relationship Id="rId729" Type="http://schemas.openxmlformats.org/officeDocument/2006/relationships/hyperlink" Target="https://www.linkedin.com/in/melita-nathania-515021168" TargetMode="External"/><Relationship Id="rId1054" Type="http://schemas.openxmlformats.org/officeDocument/2006/relationships/hyperlink" Target="https://www.google.com/url?q=https://www.linkedin.com/in/munish-kapoor-82b77629/&amp;sa=D&amp;ust=1585802058031000&amp;usg=AFQjCNGKiB_LgE_qZuLEvam8dt9_LHUxmg" TargetMode="External"/><Relationship Id="rId936" Type="http://schemas.openxmlformats.org/officeDocument/2006/relationships/hyperlink" Target="https://www.linkedin.com/in/victor-lim-b5404446/" TargetMode="External"/><Relationship Id="rId1121" Type="http://schemas.openxmlformats.org/officeDocument/2006/relationships/hyperlink" Target="https://www.google.com/url?q=https://www.linkedin.com/in/cyrile-t-cabrera/&amp;sa=D&amp;ust=1585802058104000&amp;usg=AFQjCNFJPhgRWwtWbXK59SD4GYVsbBQyCQ" TargetMode="External"/><Relationship Id="rId65" Type="http://schemas.openxmlformats.org/officeDocument/2006/relationships/hyperlink" Target="http://getzave.com/" TargetMode="External"/><Relationship Id="rId281" Type="http://schemas.openxmlformats.org/officeDocument/2006/relationships/hyperlink" Target="https://www.linkedin.com/in/amyamikat/" TargetMode="External"/><Relationship Id="rId141" Type="http://schemas.openxmlformats.org/officeDocument/2006/relationships/hyperlink" Target="https://www.linkedin.com/in/burcuatay/" TargetMode="External"/><Relationship Id="rId379" Type="http://schemas.openxmlformats.org/officeDocument/2006/relationships/hyperlink" Target="https://www.linkedin.com/in/nikhil-nagpal/" TargetMode="External"/><Relationship Id="rId586" Type="http://schemas.openxmlformats.org/officeDocument/2006/relationships/hyperlink" Target="https://www.linkedin.com/in/ranggavskusuma/" TargetMode="External"/><Relationship Id="rId793" Type="http://schemas.openxmlformats.org/officeDocument/2006/relationships/hyperlink" Target="https://www.linkedin.com/in/me-yantan/" TargetMode="External"/><Relationship Id="rId7" Type="http://schemas.openxmlformats.org/officeDocument/2006/relationships/hyperlink" Target="https://sg.linkedin.com/in/awydrych" TargetMode="External"/><Relationship Id="rId239" Type="http://schemas.openxmlformats.org/officeDocument/2006/relationships/hyperlink" Target="http://www.linkedin.com/andrewrobertsonhk/" TargetMode="External"/><Relationship Id="rId446" Type="http://schemas.openxmlformats.org/officeDocument/2006/relationships/hyperlink" Target="https://www.linkedin.com/in/carlosehestrella/" TargetMode="External"/><Relationship Id="rId653" Type="http://schemas.openxmlformats.org/officeDocument/2006/relationships/hyperlink" Target="http://linkedin.com/in/hilmiaulia" TargetMode="External"/><Relationship Id="rId1076" Type="http://schemas.openxmlformats.org/officeDocument/2006/relationships/hyperlink" Target="https://www.google.com/url?q=https://linkedin.com/in/rahmatnugr&amp;sa=D&amp;ust=1585802058054000&amp;usg=AFQjCNGIPTb__W2Gd8z2GPiVRxwA775Bsg" TargetMode="External"/><Relationship Id="rId306" Type="http://schemas.openxmlformats.org/officeDocument/2006/relationships/hyperlink" Target="http://linkedin.com/in/robertorenaldysusanto" TargetMode="External"/><Relationship Id="rId860" Type="http://schemas.openxmlformats.org/officeDocument/2006/relationships/hyperlink" Target="https://www.linkedin.com/in/yolanda-safira-662347150" TargetMode="External"/><Relationship Id="rId958" Type="http://schemas.openxmlformats.org/officeDocument/2006/relationships/hyperlink" Target="https://www.linkedin.com/in/orynbasar-kosbay-903b5b11a/" TargetMode="External"/><Relationship Id="rId1143" Type="http://schemas.openxmlformats.org/officeDocument/2006/relationships/hyperlink" Target="https://www.linkedin.com/in/treaviesagassy/" TargetMode="External"/><Relationship Id="rId87" Type="http://schemas.openxmlformats.org/officeDocument/2006/relationships/hyperlink" Target="https://www.linkedin.com/in/gina-koh-15266b198/" TargetMode="External"/><Relationship Id="rId513" Type="http://schemas.openxmlformats.org/officeDocument/2006/relationships/hyperlink" Target="https://id.linkedin.com/in/muhammad-imam-fadhli-37261182" TargetMode="External"/><Relationship Id="rId720" Type="http://schemas.openxmlformats.org/officeDocument/2006/relationships/hyperlink" Target="https://www.linkedin.com/in/laurinephilbert/" TargetMode="External"/><Relationship Id="rId818" Type="http://schemas.openxmlformats.org/officeDocument/2006/relationships/hyperlink" Target="https://www.linkedin.com/in/alyza-bachmid-26707b76" TargetMode="External"/><Relationship Id="rId1003" Type="http://schemas.openxmlformats.org/officeDocument/2006/relationships/hyperlink" Target="https://www.linkedin.com/in/yunardopatra/" TargetMode="External"/><Relationship Id="rId1210" Type="http://schemas.openxmlformats.org/officeDocument/2006/relationships/hyperlink" Target="https://www.linkedin.com/in/yessy-caline-2b523152/" TargetMode="External"/><Relationship Id="rId14" Type="http://schemas.openxmlformats.org/officeDocument/2006/relationships/hyperlink" Target="http://getzave.com/" TargetMode="External"/><Relationship Id="rId163" Type="http://schemas.openxmlformats.org/officeDocument/2006/relationships/hyperlink" Target="https://www.linkedin.com/in/kaushiksthankiya/" TargetMode="External"/><Relationship Id="rId370" Type="http://schemas.openxmlformats.org/officeDocument/2006/relationships/hyperlink" Target="https://www.linkedin.com/in/adhesya-pratama/" TargetMode="External"/><Relationship Id="rId230" Type="http://schemas.openxmlformats.org/officeDocument/2006/relationships/hyperlink" Target="http://umroh.com/" TargetMode="External"/><Relationship Id="rId468" Type="http://schemas.openxmlformats.org/officeDocument/2006/relationships/hyperlink" Target="https://www.linkedin.com/in/nah-swee-jann-66a398165/" TargetMode="External"/><Relationship Id="rId675" Type="http://schemas.openxmlformats.org/officeDocument/2006/relationships/hyperlink" Target="https://www.linkedin.com/in/defang/" TargetMode="External"/><Relationship Id="rId882" Type="http://schemas.openxmlformats.org/officeDocument/2006/relationships/hyperlink" Target="https://www.linkedin.com/in/peytontian-yan/" TargetMode="External"/><Relationship Id="rId1098" Type="http://schemas.openxmlformats.org/officeDocument/2006/relationships/hyperlink" Target="https://www.google.com/url?q=https://www.linkedin.com/in/abhilashchelankara/&amp;sa=D&amp;ust=1585802058075000&amp;usg=AFQjCNH9ln1oJvm4tSvwbxBZRDhWJ5gY3g" TargetMode="External"/><Relationship Id="rId328" Type="http://schemas.openxmlformats.org/officeDocument/2006/relationships/hyperlink" Target="https://www.linkedin.com/in/jerdinan-frendy-64679b149" TargetMode="External"/><Relationship Id="rId535" Type="http://schemas.openxmlformats.org/officeDocument/2006/relationships/hyperlink" Target="https://www.linkedin.com/in/faridacharania/" TargetMode="External"/><Relationship Id="rId742" Type="http://schemas.openxmlformats.org/officeDocument/2006/relationships/hyperlink" Target="https://www.linkedin.com/in/tommynapitupulu/" TargetMode="External"/><Relationship Id="rId1165" Type="http://schemas.openxmlformats.org/officeDocument/2006/relationships/hyperlink" Target="https://www.linkedin.com/in/gabriele-nathania-535b26150/" TargetMode="External"/><Relationship Id="rId602" Type="http://schemas.openxmlformats.org/officeDocument/2006/relationships/hyperlink" Target="http://mobilkamu.com/" TargetMode="External"/><Relationship Id="rId1025" Type="http://schemas.openxmlformats.org/officeDocument/2006/relationships/hyperlink" Target="http://linkedin.com/raewynkoh" TargetMode="External"/><Relationship Id="rId907" Type="http://schemas.openxmlformats.org/officeDocument/2006/relationships/hyperlink" Target="https://www.linkedin.com/in/lmnch" TargetMode="External"/><Relationship Id="rId36" Type="http://schemas.openxmlformats.org/officeDocument/2006/relationships/hyperlink" Target="https://www.linkedin.com/in/jonathan-pung-25668a46/" TargetMode="External"/><Relationship Id="rId185" Type="http://schemas.openxmlformats.org/officeDocument/2006/relationships/hyperlink" Target="http://linkedin.com/in/vanessa-chong" TargetMode="External"/><Relationship Id="rId392" Type="http://schemas.openxmlformats.org/officeDocument/2006/relationships/hyperlink" Target="https://www.linkedin.com/in/irfanah-ayub/" TargetMode="External"/><Relationship Id="rId697" Type="http://schemas.openxmlformats.org/officeDocument/2006/relationships/hyperlink" Target="http://www.linkedin.com/in/gobinathsubramaniam" TargetMode="External"/><Relationship Id="rId252" Type="http://schemas.openxmlformats.org/officeDocument/2006/relationships/hyperlink" Target="https://www.linkedin.com/in/olivia-taebenu-5b57a324" TargetMode="External"/><Relationship Id="rId1187" Type="http://schemas.openxmlformats.org/officeDocument/2006/relationships/hyperlink" Target="https://www.linkedin.com/in/areariyanto/" TargetMode="External"/><Relationship Id="rId112" Type="http://schemas.openxmlformats.org/officeDocument/2006/relationships/hyperlink" Target="https://www.linkedin.com/in/anch-ong-0a2b853/" TargetMode="External"/><Relationship Id="rId557" Type="http://schemas.openxmlformats.org/officeDocument/2006/relationships/hyperlink" Target="https://www.linkedin.com/in/aadishr/" TargetMode="External"/><Relationship Id="rId764" Type="http://schemas.openxmlformats.org/officeDocument/2006/relationships/hyperlink" Target="http://www.linkedin.com/in/rangga-dimas-adhinugraha-3b7092167" TargetMode="External"/><Relationship Id="rId971" Type="http://schemas.openxmlformats.org/officeDocument/2006/relationships/hyperlink" Target="https://www.linkedin.com/in/nehajoshi21/" TargetMode="External"/><Relationship Id="rId417" Type="http://schemas.openxmlformats.org/officeDocument/2006/relationships/hyperlink" Target="https://www.linkedin.com/in/ariel-iskandar/" TargetMode="External"/><Relationship Id="rId624" Type="http://schemas.openxmlformats.org/officeDocument/2006/relationships/hyperlink" Target="https://www.linkedin.com/in/tag-teoh-kang-wei-35a62576/" TargetMode="External"/><Relationship Id="rId831" Type="http://schemas.openxmlformats.org/officeDocument/2006/relationships/hyperlink" Target="https://www.linkedin.com/in/monishapsingh/" TargetMode="External"/><Relationship Id="rId1047" Type="http://schemas.openxmlformats.org/officeDocument/2006/relationships/hyperlink" Target="https://www.linkedin.com/in/firdhayuninda/en?originalSubdomain=id" TargetMode="External"/><Relationship Id="rId929" Type="http://schemas.openxmlformats.org/officeDocument/2006/relationships/hyperlink" Target="https://www.linkedin.com/in/saigalanisha/?originalSubdomain=in" TargetMode="External"/><Relationship Id="rId1114" Type="http://schemas.openxmlformats.org/officeDocument/2006/relationships/hyperlink" Target="https://www.google.com/url?q=https://www.linkedin.com/in/bayu-prambudi-mahendra-3b6a763b/&amp;sa=D&amp;ust=1585802058096000&amp;usg=AFQjCNE0DoE4AELV_MX-A7S5Jke4KSzxPQ" TargetMode="External"/><Relationship Id="rId58" Type="http://schemas.openxmlformats.org/officeDocument/2006/relationships/hyperlink" Target="https://e27.co/" TargetMode="External"/><Relationship Id="rId274" Type="http://schemas.openxmlformats.org/officeDocument/2006/relationships/hyperlink" Target="https://www.linkedin.com/in/wisarut-gunjarueg-525343126/" TargetMode="External"/><Relationship Id="rId481" Type="http://schemas.openxmlformats.org/officeDocument/2006/relationships/hyperlink" Target="https://www.linkedin.com/in/gerardajames/" TargetMode="External"/><Relationship Id="rId134" Type="http://schemas.openxmlformats.org/officeDocument/2006/relationships/hyperlink" Target="https://www.linkedin.com/in/ashmurrell/" TargetMode="External"/><Relationship Id="rId579" Type="http://schemas.openxmlformats.org/officeDocument/2006/relationships/hyperlink" Target="https://www.linkedin.com/in/jason-leonardo/" TargetMode="External"/><Relationship Id="rId786" Type="http://schemas.openxmlformats.org/officeDocument/2006/relationships/hyperlink" Target="https://www.linkedin.com/in/mohammad-shaban-923032101/" TargetMode="External"/><Relationship Id="rId993" Type="http://schemas.openxmlformats.org/officeDocument/2006/relationships/hyperlink" Target="http://useget.com/" TargetMode="External"/><Relationship Id="rId341" Type="http://schemas.openxmlformats.org/officeDocument/2006/relationships/hyperlink" Target="https://www.linkedin.com/in/dona-wijaya-470926ab" TargetMode="External"/><Relationship Id="rId439" Type="http://schemas.openxmlformats.org/officeDocument/2006/relationships/hyperlink" Target="https://www.linkedin.com/in/gwenchuawx/" TargetMode="External"/><Relationship Id="rId646" Type="http://schemas.openxmlformats.org/officeDocument/2006/relationships/hyperlink" Target="https://www.linkedin.com/in/abigail-laurencia-9206b16b" TargetMode="External"/><Relationship Id="rId1069" Type="http://schemas.openxmlformats.org/officeDocument/2006/relationships/hyperlink" Target="https://www.google.com/url?q=https://www.linkedin.com/in/aankita-mukherjee/&amp;sa=D&amp;ust=1585802058046000&amp;usg=AFQjCNE0tZx9-kEJFe5ei2ZQwz-Gcksduw" TargetMode="External"/><Relationship Id="rId201" Type="http://schemas.openxmlformats.org/officeDocument/2006/relationships/hyperlink" Target="https://www.linkedin.com/in/vinchi-cuyegkeng-1b8445/" TargetMode="External"/><Relationship Id="rId506" Type="http://schemas.openxmlformats.org/officeDocument/2006/relationships/hyperlink" Target="https://www.linkedin.com/in/rishabh-n-6b026b23/" TargetMode="External"/><Relationship Id="rId853" Type="http://schemas.openxmlformats.org/officeDocument/2006/relationships/hyperlink" Target="https://www.linkedin.com/in/evan-septiawan-8945a097" TargetMode="External"/><Relationship Id="rId1136" Type="http://schemas.openxmlformats.org/officeDocument/2006/relationships/hyperlink" Target="https://www.google.com/url?q=https://www.linkedin.com/in/santicakusno/&amp;sa=D&amp;ust=1585802058117000&amp;usg=AFQjCNEnRuH-LDN8nwG6VL8eQE8gC3WTvA" TargetMode="External"/><Relationship Id="rId713" Type="http://schemas.openxmlformats.org/officeDocument/2006/relationships/hyperlink" Target="https://www.linkedin.com/in/aldy-pranata-69367798/" TargetMode="External"/><Relationship Id="rId920" Type="http://schemas.openxmlformats.org/officeDocument/2006/relationships/hyperlink" Target="https://www.linkedin.com/in/thisischandresh/" TargetMode="External"/><Relationship Id="rId1203" Type="http://schemas.openxmlformats.org/officeDocument/2006/relationships/hyperlink" Target="https://www.linkedin.com/in/rohani-napitupulu-150596/" TargetMode="External"/><Relationship Id="rId296" Type="http://schemas.openxmlformats.org/officeDocument/2006/relationships/hyperlink" Target="http://linkedin.com/in/annisa-rafida-laili-7704131a3" TargetMode="External"/><Relationship Id="rId156" Type="http://schemas.openxmlformats.org/officeDocument/2006/relationships/hyperlink" Target="https://www.linkedin.com/in/klvndsmn/" TargetMode="External"/><Relationship Id="rId363" Type="http://schemas.openxmlformats.org/officeDocument/2006/relationships/hyperlink" Target="https://www.linkedin.com/in/gazalkhandelwal" TargetMode="External"/><Relationship Id="rId570" Type="http://schemas.openxmlformats.org/officeDocument/2006/relationships/hyperlink" Target="https://www.linkedin.com/in/julietkasko/" TargetMode="External"/><Relationship Id="rId223" Type="http://schemas.openxmlformats.org/officeDocument/2006/relationships/hyperlink" Target="https://www.linkedin.com/in/nurarina210296/" TargetMode="External"/><Relationship Id="rId430" Type="http://schemas.openxmlformats.org/officeDocument/2006/relationships/hyperlink" Target="https://www.linkedin.com/in/akshay1301/" TargetMode="External"/><Relationship Id="rId668" Type="http://schemas.openxmlformats.org/officeDocument/2006/relationships/hyperlink" Target="https://www.linkedin.com/in/gheaalfa/" TargetMode="External"/><Relationship Id="rId875" Type="http://schemas.openxmlformats.org/officeDocument/2006/relationships/hyperlink" Target="https://www.linkedin.com/in/alexander-arrefelt-57580b27/" TargetMode="External"/><Relationship Id="rId1060" Type="http://schemas.openxmlformats.org/officeDocument/2006/relationships/hyperlink" Target="https://www.google.com/url?q=https://www.linkedin.com/in/teo-choong-ping/&amp;sa=D&amp;ust=1585802058036000&amp;usg=AFQjCNGyt5M_o29_vJHESsEIbpEa83OkIw" TargetMode="External"/><Relationship Id="rId18" Type="http://schemas.openxmlformats.org/officeDocument/2006/relationships/hyperlink" Target="http://www.linkedin.com/in/randito-zakky-alifsyah-3a6490196" TargetMode="External"/><Relationship Id="rId528" Type="http://schemas.openxmlformats.org/officeDocument/2006/relationships/hyperlink" Target="https://www.linkedin.com/in/tiffany-chan-9404b5a7/" TargetMode="External"/><Relationship Id="rId735" Type="http://schemas.openxmlformats.org/officeDocument/2006/relationships/hyperlink" Target="https://www.linkedin.com/in/bayu-rakaziwi/" TargetMode="External"/><Relationship Id="rId942" Type="http://schemas.openxmlformats.org/officeDocument/2006/relationships/hyperlink" Target="http://linkedin.com/in/ankit-paul-01" TargetMode="External"/><Relationship Id="rId1158" Type="http://schemas.openxmlformats.org/officeDocument/2006/relationships/hyperlink" Target="https://www.linkedin.com/in/andhita-zerlina-795b3992/" TargetMode="External"/><Relationship Id="rId167" Type="http://schemas.openxmlformats.org/officeDocument/2006/relationships/hyperlink" Target="https://www.linkedin.com/in/lucy-ruqi-z-b358793a/" TargetMode="External"/><Relationship Id="rId374" Type="http://schemas.openxmlformats.org/officeDocument/2006/relationships/hyperlink" Target="https://www.linkedin.com/in/rafiraudy" TargetMode="External"/><Relationship Id="rId581" Type="http://schemas.openxmlformats.org/officeDocument/2006/relationships/hyperlink" Target="https://www.linkedin.com/in/rozihendarta" TargetMode="External"/><Relationship Id="rId1018" Type="http://schemas.openxmlformats.org/officeDocument/2006/relationships/hyperlink" Target="https://www.linkedin.com/in/febriyanmf/" TargetMode="External"/><Relationship Id="rId71" Type="http://schemas.openxmlformats.org/officeDocument/2006/relationships/hyperlink" Target="http://linkedin.com/in/akhdanbuchou/" TargetMode="External"/><Relationship Id="rId234" Type="http://schemas.openxmlformats.org/officeDocument/2006/relationships/hyperlink" Target="http://ralali.com/" TargetMode="External"/><Relationship Id="rId679" Type="http://schemas.openxmlformats.org/officeDocument/2006/relationships/hyperlink" Target="https://www.linkedin.com/in/beneditatan/" TargetMode="External"/><Relationship Id="rId802" Type="http://schemas.openxmlformats.org/officeDocument/2006/relationships/hyperlink" Target="https://www.linkedin.com/in/rangarajan-rajagopalan/" TargetMode="External"/><Relationship Id="rId886" Type="http://schemas.openxmlformats.org/officeDocument/2006/relationships/hyperlink" Target="http://www.linkedin.com/in/julie-vassaux" TargetMode="External"/><Relationship Id="rId2" Type="http://schemas.openxmlformats.org/officeDocument/2006/relationships/hyperlink" Target="http://linkedin.com/in/rishi-arora-10379a183" TargetMode="External"/><Relationship Id="rId29" Type="http://schemas.openxmlformats.org/officeDocument/2006/relationships/hyperlink" Target="https://sg.linkedin.com/in/skume" TargetMode="External"/><Relationship Id="rId441" Type="http://schemas.openxmlformats.org/officeDocument/2006/relationships/hyperlink" Target="http://vsource.io/" TargetMode="External"/><Relationship Id="rId539" Type="http://schemas.openxmlformats.org/officeDocument/2006/relationships/hyperlink" Target="https://www.linkedin.com/in/khalis-devinta-83357a129/" TargetMode="External"/><Relationship Id="rId746" Type="http://schemas.openxmlformats.org/officeDocument/2006/relationships/hyperlink" Target="https://www.linkedin.com/in/terencenyy/" TargetMode="External"/><Relationship Id="rId1071" Type="http://schemas.openxmlformats.org/officeDocument/2006/relationships/hyperlink" Target="https://www.google.com/url?q=https://www.linkedin.com/in/sridharanarun/&amp;sa=D&amp;ust=1585802058048000&amp;usg=AFQjCNFTyUk7tThAl08Ju0JNYsM6e1t73w" TargetMode="External"/><Relationship Id="rId1169" Type="http://schemas.openxmlformats.org/officeDocument/2006/relationships/hyperlink" Target="https://www.linkedin.com/in/pravianti-anindita-nastiti-726155b6/" TargetMode="External"/><Relationship Id="rId178" Type="http://schemas.openxmlformats.org/officeDocument/2006/relationships/hyperlink" Target="http://www.linkedin.com/in/ruan-jiren" TargetMode="External"/><Relationship Id="rId301" Type="http://schemas.openxmlformats.org/officeDocument/2006/relationships/hyperlink" Target="https://www.linkedin.com/in/mesperida/" TargetMode="External"/><Relationship Id="rId953" Type="http://schemas.openxmlformats.org/officeDocument/2006/relationships/hyperlink" Target="https://www.linkedin.com/in/klaraiskra/" TargetMode="External"/><Relationship Id="rId1029" Type="http://schemas.openxmlformats.org/officeDocument/2006/relationships/hyperlink" Target="http://99.co/" TargetMode="External"/><Relationship Id="rId82" Type="http://schemas.openxmlformats.org/officeDocument/2006/relationships/hyperlink" Target="https://www.linkedin.com/in/waqas-khann-0225b633" TargetMode="External"/><Relationship Id="rId385" Type="http://schemas.openxmlformats.org/officeDocument/2006/relationships/hyperlink" Target="https://www.linkedin.com/in/veronica-linti-5041164a/" TargetMode="External"/><Relationship Id="rId592" Type="http://schemas.openxmlformats.org/officeDocument/2006/relationships/hyperlink" Target="https://www.linkedin.com/in/ignaciogonzalezolias/" TargetMode="External"/><Relationship Id="rId606" Type="http://schemas.openxmlformats.org/officeDocument/2006/relationships/hyperlink" Target="https://www.linkedin.com/in/swaroop-kumar-m-40b093bb/" TargetMode="External"/><Relationship Id="rId813" Type="http://schemas.openxmlformats.org/officeDocument/2006/relationships/hyperlink" Target="http://www.linkedin.com/in/delontohjl" TargetMode="External"/><Relationship Id="rId245" Type="http://schemas.openxmlformats.org/officeDocument/2006/relationships/hyperlink" Target="https://www.linkedin.com/in/stefanny97/" TargetMode="External"/><Relationship Id="rId452" Type="http://schemas.openxmlformats.org/officeDocument/2006/relationships/hyperlink" Target="http://www.linkedin.com/in/sharadharjai" TargetMode="External"/><Relationship Id="rId897" Type="http://schemas.openxmlformats.org/officeDocument/2006/relationships/hyperlink" Target="https://www.linkedin.com/in/yash-desai-1258b4106/" TargetMode="External"/><Relationship Id="rId1082" Type="http://schemas.openxmlformats.org/officeDocument/2006/relationships/hyperlink" Target="https://www.google.com/url?q=https://www.linkedin.com/in/wipawan-amornchairattanakul-a962a692/&amp;sa=D&amp;ust=1585802058060000&amp;usg=AFQjCNHY0RrsJ00y2jm4Vgu3xgyaOL8vOA" TargetMode="External"/><Relationship Id="rId105" Type="http://schemas.openxmlformats.org/officeDocument/2006/relationships/hyperlink" Target="http://www.linkedin.com/in/dmulani" TargetMode="External"/><Relationship Id="rId312" Type="http://schemas.openxmlformats.org/officeDocument/2006/relationships/hyperlink" Target="https://www.linkedin.com/in/luthfi-septiandy-415096b4/" TargetMode="External"/><Relationship Id="rId757" Type="http://schemas.openxmlformats.org/officeDocument/2006/relationships/hyperlink" Target="https://www.linkedin.com/in/jethrowang/" TargetMode="External"/><Relationship Id="rId964" Type="http://schemas.openxmlformats.org/officeDocument/2006/relationships/hyperlink" Target="https://www.linkedin.com/in/andre-satyadharma-45584b34/" TargetMode="External"/><Relationship Id="rId93" Type="http://schemas.openxmlformats.org/officeDocument/2006/relationships/hyperlink" Target="https://www.linkedin.com/in/mudrii/" TargetMode="External"/><Relationship Id="rId189" Type="http://schemas.openxmlformats.org/officeDocument/2006/relationships/hyperlink" Target="https://www.linkedin.com/in/xenalevina/" TargetMode="External"/><Relationship Id="rId396" Type="http://schemas.openxmlformats.org/officeDocument/2006/relationships/hyperlink" Target="https://www.linkedin.com/in/revinomahavira/" TargetMode="External"/><Relationship Id="rId617" Type="http://schemas.openxmlformats.org/officeDocument/2006/relationships/hyperlink" Target="http://linkedin.com/in/olivia-susanto-aab539191" TargetMode="External"/><Relationship Id="rId824" Type="http://schemas.openxmlformats.org/officeDocument/2006/relationships/hyperlink" Target="https://www.linkedin.com/in/danielle-lauren-gross/" TargetMode="External"/><Relationship Id="rId256" Type="http://schemas.openxmlformats.org/officeDocument/2006/relationships/hyperlink" Target="https://www.linkedin.com/in/kautsar-umaro-yanshuru-78441012a/" TargetMode="External"/><Relationship Id="rId463" Type="http://schemas.openxmlformats.org/officeDocument/2006/relationships/hyperlink" Target="https://www.linkedin.com/in/alif-juliansyah-5a7822150/" TargetMode="External"/><Relationship Id="rId670" Type="http://schemas.openxmlformats.org/officeDocument/2006/relationships/hyperlink" Target="https://www.linkedin.com/in/tunde-vizsnyai/" TargetMode="External"/><Relationship Id="rId1093" Type="http://schemas.openxmlformats.org/officeDocument/2006/relationships/hyperlink" Target="https://www.google.com/url?q=https://www.linkedin.com/in/depapp&amp;sa=D&amp;ust=1585802058071000&amp;usg=AFQjCNHqfDRIsvC5W0Au1CxfKPGfNdgq6g" TargetMode="External"/><Relationship Id="rId1107" Type="http://schemas.openxmlformats.org/officeDocument/2006/relationships/hyperlink" Target="https://www.google.com/url?q=https://www.linkedin.com/in/xinyacai&amp;sa=D&amp;ust=1585802058085000&amp;usg=AFQjCNGnK-0e1sVEuc6cnUGwil3kkKkjSQ" TargetMode="External"/><Relationship Id="rId116" Type="http://schemas.openxmlformats.org/officeDocument/2006/relationships/hyperlink" Target="https://www.linkedin.com/in/guillaume-terrel" TargetMode="External"/><Relationship Id="rId323" Type="http://schemas.openxmlformats.org/officeDocument/2006/relationships/hyperlink" Target="http://www.linkedin.com/in/andriynt" TargetMode="External"/><Relationship Id="rId530" Type="http://schemas.openxmlformats.org/officeDocument/2006/relationships/hyperlink" Target="https://www.linkedin.com/in/anuja-tandon-6143a87b/" TargetMode="External"/><Relationship Id="rId768" Type="http://schemas.openxmlformats.org/officeDocument/2006/relationships/hyperlink" Target="http://linkedin.com/in/zen-lim-a54392100" TargetMode="External"/><Relationship Id="rId975" Type="http://schemas.openxmlformats.org/officeDocument/2006/relationships/hyperlink" Target="https://www.linkedin.com/in/raihansyah-dipananda-758292115/" TargetMode="External"/><Relationship Id="rId1160" Type="http://schemas.openxmlformats.org/officeDocument/2006/relationships/hyperlink" Target="https://www.linkedin.com/in/prawira-wardana-390665167/" TargetMode="External"/><Relationship Id="rId20" Type="http://schemas.openxmlformats.org/officeDocument/2006/relationships/hyperlink" Target="http://linkedin.com/in/almasazam" TargetMode="External"/><Relationship Id="rId628" Type="http://schemas.openxmlformats.org/officeDocument/2006/relationships/hyperlink" Target="https://www.linkedin.com/in/joe-lai-69a545151" TargetMode="External"/><Relationship Id="rId835" Type="http://schemas.openxmlformats.org/officeDocument/2006/relationships/hyperlink" Target="https://www.linkedin.com/in/felixanderloetama/" TargetMode="External"/><Relationship Id="rId267" Type="http://schemas.openxmlformats.org/officeDocument/2006/relationships/hyperlink" Target="https://www.linkedin.com/in/phakpoom-santisarun-7676422a/" TargetMode="External"/><Relationship Id="rId474" Type="http://schemas.openxmlformats.org/officeDocument/2006/relationships/hyperlink" Target="https://www.linkedin.com/in/haig-yapoudjian-63369328" TargetMode="External"/><Relationship Id="rId1020" Type="http://schemas.openxmlformats.org/officeDocument/2006/relationships/hyperlink" Target="http://www.linkedin.com/in/iamevekoh" TargetMode="External"/><Relationship Id="rId1118" Type="http://schemas.openxmlformats.org/officeDocument/2006/relationships/hyperlink" Target="https://www.google.com/url?q=https://www.linkedin.com/in/arun-narayanan-6b6bb131/&amp;sa=D&amp;ust=1585802058101000&amp;usg=AFQjCNF5GXArxlrk2QOoR-YQUkH01t4aWw" TargetMode="External"/><Relationship Id="rId127" Type="http://schemas.openxmlformats.org/officeDocument/2006/relationships/hyperlink" Target="http://umroh.com/" TargetMode="External"/><Relationship Id="rId681" Type="http://schemas.openxmlformats.org/officeDocument/2006/relationships/hyperlink" Target="https://www.linkedin.com/in/gabriel-sarrazin-ba1236a5/" TargetMode="External"/><Relationship Id="rId779" Type="http://schemas.openxmlformats.org/officeDocument/2006/relationships/hyperlink" Target="https://www.linkedin.com/mwlite/in/luqmana-kemashadi" TargetMode="External"/><Relationship Id="rId902" Type="http://schemas.openxmlformats.org/officeDocument/2006/relationships/hyperlink" Target="https://www.linkedin.com/in/pakzam/" TargetMode="External"/><Relationship Id="rId986" Type="http://schemas.openxmlformats.org/officeDocument/2006/relationships/hyperlink" Target="https://www.linkedin.com/in/ryanyudhasatria" TargetMode="External"/><Relationship Id="rId31" Type="http://schemas.openxmlformats.org/officeDocument/2006/relationships/hyperlink" Target="http://linkedin.com/in/jim-huang-9b32952" TargetMode="External"/><Relationship Id="rId334" Type="http://schemas.openxmlformats.org/officeDocument/2006/relationships/hyperlink" Target="https://www.linkedin.com/in/cucu-permana-646a0831/" TargetMode="External"/><Relationship Id="rId541" Type="http://schemas.openxmlformats.org/officeDocument/2006/relationships/hyperlink" Target="https://www.linkedin.com/in/wildanwidiarta/" TargetMode="External"/><Relationship Id="rId639" Type="http://schemas.openxmlformats.org/officeDocument/2006/relationships/hyperlink" Target="https://www.linkedin.com/in/davidchuanpengchan" TargetMode="External"/><Relationship Id="rId1171" Type="http://schemas.openxmlformats.org/officeDocument/2006/relationships/hyperlink" Target="https://www.linkedin.com/in/eric-jodhy-4372bb104/" TargetMode="External"/><Relationship Id="rId180" Type="http://schemas.openxmlformats.org/officeDocument/2006/relationships/hyperlink" Target="https://www.linkedin.com/in/mangapul-damanik-86106445/" TargetMode="External"/><Relationship Id="rId278" Type="http://schemas.openxmlformats.org/officeDocument/2006/relationships/hyperlink" Target="https://www.linkedin.com/in/ariaditya/" TargetMode="External"/><Relationship Id="rId401" Type="http://schemas.openxmlformats.org/officeDocument/2006/relationships/hyperlink" Target="https://www.linkedin.com/in/geraldine-soo" TargetMode="External"/><Relationship Id="rId846" Type="http://schemas.openxmlformats.org/officeDocument/2006/relationships/hyperlink" Target="https://www.linkedin.com/in/yitch/" TargetMode="External"/><Relationship Id="rId1031" Type="http://schemas.openxmlformats.org/officeDocument/2006/relationships/hyperlink" Target="https://www.linkedin.com/in/novyanti-indria-ayu-kusumastuti-b2a4217b" TargetMode="External"/><Relationship Id="rId1129" Type="http://schemas.openxmlformats.org/officeDocument/2006/relationships/hyperlink" Target="https://www.google.com/url?q=https://www.linkedin.com/in/neeraja-lalitha-muralidharan-110a18137&amp;sa=D&amp;ust=1585802058110000&amp;usg=AFQjCNFpG3GUQGcV0BIIY6ZpWhAJnUp7kA" TargetMode="External"/><Relationship Id="rId485" Type="http://schemas.openxmlformats.org/officeDocument/2006/relationships/hyperlink" Target="https://www.linkedin.com/in/pei-xin-ng-15a115138/" TargetMode="External"/><Relationship Id="rId692" Type="http://schemas.openxmlformats.org/officeDocument/2006/relationships/hyperlink" Target="https://www.linkedin.com/in/ismi-sapuroh-3783341a7" TargetMode="External"/><Relationship Id="rId706" Type="http://schemas.openxmlformats.org/officeDocument/2006/relationships/hyperlink" Target="https://www.linkedin.com/in/willy-vanneste-5000894b/" TargetMode="External"/><Relationship Id="rId913" Type="http://schemas.openxmlformats.org/officeDocument/2006/relationships/hyperlink" Target="https://www.linkedin.com/mwlite/in/marnellienadayao" TargetMode="External"/><Relationship Id="rId42" Type="http://schemas.openxmlformats.org/officeDocument/2006/relationships/hyperlink" Target="https://www.linkedin.com/in/rafinno-a-3795264a/" TargetMode="External"/><Relationship Id="rId138" Type="http://schemas.openxmlformats.org/officeDocument/2006/relationships/hyperlink" Target="https://www.linkedin.com/in/vimaladevi/" TargetMode="External"/><Relationship Id="rId345" Type="http://schemas.openxmlformats.org/officeDocument/2006/relationships/hyperlink" Target="https://www.linkedin.com/in/ngiapp/" TargetMode="External"/><Relationship Id="rId552" Type="http://schemas.openxmlformats.org/officeDocument/2006/relationships/hyperlink" Target="https://www.linkedin.com/in/sandhya-sriram/" TargetMode="External"/><Relationship Id="rId997" Type="http://schemas.openxmlformats.org/officeDocument/2006/relationships/hyperlink" Target="https://www.linkedin.com/in/aldy-yoga-alfianta-b26214115/" TargetMode="External"/><Relationship Id="rId1182" Type="http://schemas.openxmlformats.org/officeDocument/2006/relationships/hyperlink" Target="https://www.linkedin.com/in/lily-krisniagasari-b5698333/" TargetMode="External"/><Relationship Id="rId191" Type="http://schemas.openxmlformats.org/officeDocument/2006/relationships/hyperlink" Target="http://linkedin.com/in/tashadara" TargetMode="External"/><Relationship Id="rId205" Type="http://schemas.openxmlformats.org/officeDocument/2006/relationships/hyperlink" Target="http://linkedin.com/in/nikitarshaha" TargetMode="External"/><Relationship Id="rId412" Type="http://schemas.openxmlformats.org/officeDocument/2006/relationships/hyperlink" Target="http://linkedin.com/in/wuennee" TargetMode="External"/><Relationship Id="rId857" Type="http://schemas.openxmlformats.org/officeDocument/2006/relationships/hyperlink" Target="https://www.linkedin.com/in/noor-loic-bin-satar-43713173" TargetMode="External"/><Relationship Id="rId1042" Type="http://schemas.openxmlformats.org/officeDocument/2006/relationships/hyperlink" Target="https://www.linkedin.com/in/kevinwhtan" TargetMode="External"/><Relationship Id="rId289" Type="http://schemas.openxmlformats.org/officeDocument/2006/relationships/hyperlink" Target="https://www.linkedin.com/in/achmed-islamic-hernawan-97b046ba/" TargetMode="External"/><Relationship Id="rId496" Type="http://schemas.openxmlformats.org/officeDocument/2006/relationships/hyperlink" Target="https://www.linkedin.com/in/kenny-himawan-0ba12213b" TargetMode="External"/><Relationship Id="rId717" Type="http://schemas.openxmlformats.org/officeDocument/2006/relationships/hyperlink" Target="https://www.linkedin.com/in/husni-sidik-5097ab168/" TargetMode="External"/><Relationship Id="rId924" Type="http://schemas.openxmlformats.org/officeDocument/2006/relationships/hyperlink" Target="https://www.linkedin.com/in/agriphina" TargetMode="External"/><Relationship Id="rId53" Type="http://schemas.openxmlformats.org/officeDocument/2006/relationships/hyperlink" Target="https://www.linkedin.com/in/flaviu-dumitrascu-profile/" TargetMode="External"/><Relationship Id="rId149" Type="http://schemas.openxmlformats.org/officeDocument/2006/relationships/hyperlink" Target="https://www.linkedin.com/in/kaustavkbose" TargetMode="External"/><Relationship Id="rId356" Type="http://schemas.openxmlformats.org/officeDocument/2006/relationships/hyperlink" Target="https://www.linkedin.com/in/stevenywh/" TargetMode="External"/><Relationship Id="rId563" Type="http://schemas.openxmlformats.org/officeDocument/2006/relationships/hyperlink" Target="https://www.linkedin.com/in/rizki-ridho-akbar-92683181/" TargetMode="External"/><Relationship Id="rId770" Type="http://schemas.openxmlformats.org/officeDocument/2006/relationships/hyperlink" Target="https://www.linkedin.com/in/firdaus-nejim-al-asedi-4044b212a/" TargetMode="External"/><Relationship Id="rId1193" Type="http://schemas.openxmlformats.org/officeDocument/2006/relationships/hyperlink" Target="https://www.linkedin.com/in/rizqiakbar/" TargetMode="External"/><Relationship Id="rId1207" Type="http://schemas.openxmlformats.org/officeDocument/2006/relationships/hyperlink" Target="https://www.linkedin.com/in/mraagil/" TargetMode="External"/><Relationship Id="rId216" Type="http://schemas.openxmlformats.org/officeDocument/2006/relationships/hyperlink" Target="https://www.linkedin.com/in/lea-rosiana-sentausa-5b125930" TargetMode="External"/><Relationship Id="rId423" Type="http://schemas.openxmlformats.org/officeDocument/2006/relationships/hyperlink" Target="https://www.linkedin.com/in/yuminjiang/" TargetMode="External"/><Relationship Id="rId868" Type="http://schemas.openxmlformats.org/officeDocument/2006/relationships/hyperlink" Target="https://www.linkedin.com/in/badea-ilham-b2b2b4b6" TargetMode="External"/><Relationship Id="rId1053" Type="http://schemas.openxmlformats.org/officeDocument/2006/relationships/hyperlink" Target="https://www.linkedin.com/in/chasa-sangkavutichaikul-0630a74b/" TargetMode="External"/><Relationship Id="rId630" Type="http://schemas.openxmlformats.org/officeDocument/2006/relationships/hyperlink" Target="https://www.linkedin.com/in/feradhia/" TargetMode="External"/><Relationship Id="rId728" Type="http://schemas.openxmlformats.org/officeDocument/2006/relationships/hyperlink" Target="https://www.linkedin.com/in/jennifer-lim-64760669/" TargetMode="External"/><Relationship Id="rId935" Type="http://schemas.openxmlformats.org/officeDocument/2006/relationships/hyperlink" Target="https://www.linkedin.com/in/embatista/" TargetMode="External"/><Relationship Id="rId64" Type="http://schemas.openxmlformats.org/officeDocument/2006/relationships/hyperlink" Target="https://www.linkedin.com/in/robertmunro/" TargetMode="External"/><Relationship Id="rId367" Type="http://schemas.openxmlformats.org/officeDocument/2006/relationships/hyperlink" Target="http://linkedin.com/in/joelly-see-toh-075254146" TargetMode="External"/><Relationship Id="rId574" Type="http://schemas.openxmlformats.org/officeDocument/2006/relationships/hyperlink" Target="https://www.linkedin.com/in/smritisingh/" TargetMode="External"/><Relationship Id="rId1120" Type="http://schemas.openxmlformats.org/officeDocument/2006/relationships/hyperlink" Target="https://www.google.com/url?q=https://www.linkedin.com/in/heerosha-sreetharan-1b4150185/&amp;sa=D&amp;ust=1585802058103000&amp;usg=AFQjCNELLWDbbqImpnnF7iH9gi4sUs5IDA" TargetMode="External"/><Relationship Id="rId227" Type="http://schemas.openxmlformats.org/officeDocument/2006/relationships/hyperlink" Target="http://www.linkedin.com/in/angela-lok-78b14035" TargetMode="External"/><Relationship Id="rId781" Type="http://schemas.openxmlformats.org/officeDocument/2006/relationships/hyperlink" Target="https://www.linkedin.com/in/aditya-talwar-4a9724147/" TargetMode="External"/><Relationship Id="rId879" Type="http://schemas.openxmlformats.org/officeDocument/2006/relationships/hyperlink" Target="https://www.linkedin.com/in/dhavalshahisb/" TargetMode="External"/><Relationship Id="rId434" Type="http://schemas.openxmlformats.org/officeDocument/2006/relationships/hyperlink" Target="http://www.linkedin.com/in/soyeonham" TargetMode="External"/><Relationship Id="rId641" Type="http://schemas.openxmlformats.org/officeDocument/2006/relationships/hyperlink" Target="https://www.linkedin.com/in/josafat-bambang-13b0b190/" TargetMode="External"/><Relationship Id="rId739" Type="http://schemas.openxmlformats.org/officeDocument/2006/relationships/hyperlink" Target="https://www.linkedin.com/in/karanftd/" TargetMode="External"/><Relationship Id="rId1064" Type="http://schemas.openxmlformats.org/officeDocument/2006/relationships/hyperlink" Target="https://www.google.com/url?q=https://www.linkedin.com/in/rubisaini/&amp;sa=D&amp;ust=1585802058041000&amp;usg=AFQjCNGVfVYSlqyDJ3ExrQuaifYpbr7_Pg" TargetMode="External"/><Relationship Id="rId280" Type="http://schemas.openxmlformats.org/officeDocument/2006/relationships/hyperlink" Target="http://linkedin.com/in/devs018" TargetMode="External"/><Relationship Id="rId501" Type="http://schemas.openxmlformats.org/officeDocument/2006/relationships/hyperlink" Target="https://www.linkedin.com/mwlite/in/satyanugraha" TargetMode="External"/><Relationship Id="rId946" Type="http://schemas.openxmlformats.org/officeDocument/2006/relationships/hyperlink" Target="https://www.linkedin.com/in/saandeepr/" TargetMode="External"/><Relationship Id="rId1131" Type="http://schemas.openxmlformats.org/officeDocument/2006/relationships/hyperlink" Target="https://www.google.com/url?q=https://www.linkedin.com/in/chris-costello/&amp;sa=D&amp;ust=1585802058112000&amp;usg=AFQjCNGj7aixpO9xvUDwj2L8Ggd1XHwhJQ" TargetMode="External"/><Relationship Id="rId75" Type="http://schemas.openxmlformats.org/officeDocument/2006/relationships/hyperlink" Target="https://www.linkedin.com/in/johnson-tsang-cfa-frm-51695778/" TargetMode="External"/><Relationship Id="rId140" Type="http://schemas.openxmlformats.org/officeDocument/2006/relationships/hyperlink" Target="https://www.linkedin.com/in/ericluwj/" TargetMode="External"/><Relationship Id="rId378" Type="http://schemas.openxmlformats.org/officeDocument/2006/relationships/hyperlink" Target="https://www.linkedin.com/in/cati-nugraha-bilanguna-227421b5/" TargetMode="External"/><Relationship Id="rId585" Type="http://schemas.openxmlformats.org/officeDocument/2006/relationships/hyperlink" Target="http://linkedin.com/in/radenfinta" TargetMode="External"/><Relationship Id="rId792" Type="http://schemas.openxmlformats.org/officeDocument/2006/relationships/hyperlink" Target="https://www.linkedin.com/in/liusstevens/" TargetMode="External"/><Relationship Id="rId806" Type="http://schemas.openxmlformats.org/officeDocument/2006/relationships/hyperlink" Target="https://www.linkedin.com/in/bayu-sulistomo-537663177/" TargetMode="External"/><Relationship Id="rId6" Type="http://schemas.openxmlformats.org/officeDocument/2006/relationships/hyperlink" Target="https://www.linkedin.com/in/poojamisra/" TargetMode="External"/><Relationship Id="rId238" Type="http://schemas.openxmlformats.org/officeDocument/2006/relationships/hyperlink" Target="http://linkedin.com/in/radfadilla" TargetMode="External"/><Relationship Id="rId445" Type="http://schemas.openxmlformats.org/officeDocument/2006/relationships/hyperlink" Target="https://www.linkedin.com/in/nikolas-wijaya-17965b180/" TargetMode="External"/><Relationship Id="rId652" Type="http://schemas.openxmlformats.org/officeDocument/2006/relationships/hyperlink" Target="http://ralali.com/" TargetMode="External"/><Relationship Id="rId1075" Type="http://schemas.openxmlformats.org/officeDocument/2006/relationships/hyperlink" Target="https://www.google.com/url?q=https://www.linkedin.com/in/syukur-achmad/&amp;sa=D&amp;ust=1585802058053000&amp;usg=AFQjCNHNtOv1xrYWoSNaOrQtEfRDAXIOiA" TargetMode="External"/><Relationship Id="rId291" Type="http://schemas.openxmlformats.org/officeDocument/2006/relationships/hyperlink" Target="https://www.linkedin.com/in/alfredo-simanjuntak-231b36a3/" TargetMode="External"/><Relationship Id="rId305" Type="http://schemas.openxmlformats.org/officeDocument/2006/relationships/hyperlink" Target="https://www.linkedin.com/in/odianina/" TargetMode="External"/><Relationship Id="rId512" Type="http://schemas.openxmlformats.org/officeDocument/2006/relationships/hyperlink" Target="https://www.linkedin.com/in/nathaniellekatompessy/" TargetMode="External"/><Relationship Id="rId957" Type="http://schemas.openxmlformats.org/officeDocument/2006/relationships/hyperlink" Target="https://www.linkedin.com/in/ayunda-rahmani-khoirunnissa-00291494" TargetMode="External"/><Relationship Id="rId1142" Type="http://schemas.openxmlformats.org/officeDocument/2006/relationships/hyperlink" Target="https://www.linkedin.com/in/saumyagr/" TargetMode="External"/><Relationship Id="rId86" Type="http://schemas.openxmlformats.org/officeDocument/2006/relationships/hyperlink" Target="http://getzave.com/" TargetMode="External"/><Relationship Id="rId151" Type="http://schemas.openxmlformats.org/officeDocument/2006/relationships/hyperlink" Target="https://www.linkedin.com/in/basah-yuda-negara-3b6a3b15a/" TargetMode="External"/><Relationship Id="rId389" Type="http://schemas.openxmlformats.org/officeDocument/2006/relationships/hyperlink" Target="https://www.linkedin.com/in/cann-prugsanapan-1b699651/" TargetMode="External"/><Relationship Id="rId596" Type="http://schemas.openxmlformats.org/officeDocument/2006/relationships/hyperlink" Target="https://www.linkedin.com/in/ega-almira-shae-373953121" TargetMode="External"/><Relationship Id="rId817" Type="http://schemas.openxmlformats.org/officeDocument/2006/relationships/hyperlink" Target="https://www.linkedin.com/in/esaisyah/" TargetMode="External"/><Relationship Id="rId1002" Type="http://schemas.openxmlformats.org/officeDocument/2006/relationships/hyperlink" Target="https://www.linkedin.com/in/jonathanongch/" TargetMode="External"/><Relationship Id="rId249" Type="http://schemas.openxmlformats.org/officeDocument/2006/relationships/hyperlink" Target="http://linkedin.com/in/abhyuditdev" TargetMode="External"/><Relationship Id="rId456" Type="http://schemas.openxmlformats.org/officeDocument/2006/relationships/hyperlink" Target="https://www.linkedin.com/in/mohd-hafiz-136297a4/" TargetMode="External"/><Relationship Id="rId663" Type="http://schemas.openxmlformats.org/officeDocument/2006/relationships/hyperlink" Target="http://mobilkamu.com/" TargetMode="External"/><Relationship Id="rId870" Type="http://schemas.openxmlformats.org/officeDocument/2006/relationships/hyperlink" Target="https://www.linkedin.com/in/ivanleetekzhung/" TargetMode="External"/><Relationship Id="rId1086" Type="http://schemas.openxmlformats.org/officeDocument/2006/relationships/hyperlink" Target="https://www.google.com/url?q=https://www.linkedin.com/in/renodesper/&amp;sa=D&amp;ust=1585802058064000&amp;usg=AFQjCNGJIIC_5FEMsG_ETdGYXj1CRUpDew" TargetMode="External"/><Relationship Id="rId13" Type="http://schemas.openxmlformats.org/officeDocument/2006/relationships/hyperlink" Target="https://www.linkedin.com/in/jay-gandhi-7264aa23/" TargetMode="External"/><Relationship Id="rId109" Type="http://schemas.openxmlformats.org/officeDocument/2006/relationships/hyperlink" Target="https://www.linkedin.com/in/kristieteoht/" TargetMode="External"/><Relationship Id="rId316" Type="http://schemas.openxmlformats.org/officeDocument/2006/relationships/hyperlink" Target="https://www.linkedin.com/in/marsya-fawzia-14882864" TargetMode="External"/><Relationship Id="rId523" Type="http://schemas.openxmlformats.org/officeDocument/2006/relationships/hyperlink" Target="http://www.linkedin.com/in/narenag" TargetMode="External"/><Relationship Id="rId968" Type="http://schemas.openxmlformats.org/officeDocument/2006/relationships/hyperlink" Target="https://www.linkedin.com/in/ervin-liew-9661a7a6/" TargetMode="External"/><Relationship Id="rId1153" Type="http://schemas.openxmlformats.org/officeDocument/2006/relationships/hyperlink" Target="https://www.linkedin.com/in/farah-agia/" TargetMode="External"/><Relationship Id="rId97" Type="http://schemas.openxmlformats.org/officeDocument/2006/relationships/hyperlink" Target="https://www.linkedin.com/in/amreen-rahman/" TargetMode="External"/><Relationship Id="rId730" Type="http://schemas.openxmlformats.org/officeDocument/2006/relationships/hyperlink" Target="http://www.linkedin.com/in/lionel-wong-9313b427" TargetMode="External"/><Relationship Id="rId828" Type="http://schemas.openxmlformats.org/officeDocument/2006/relationships/hyperlink" Target="https://www.linkedin.com/in/pj-l" TargetMode="External"/><Relationship Id="rId1013" Type="http://schemas.openxmlformats.org/officeDocument/2006/relationships/hyperlink" Target="https://www.linkedin.com/in/i-gusti-bagus-prasetya-lakshana-0b3aa7b9/" TargetMode="External"/><Relationship Id="rId162" Type="http://schemas.openxmlformats.org/officeDocument/2006/relationships/hyperlink" Target="https://www.linkedin.com/in/yap-soon-guan-a32015b6/" TargetMode="External"/><Relationship Id="rId467" Type="http://schemas.openxmlformats.org/officeDocument/2006/relationships/hyperlink" Target="https://www.linkedin.com/in/amree/" TargetMode="External"/><Relationship Id="rId1097" Type="http://schemas.openxmlformats.org/officeDocument/2006/relationships/hyperlink" Target="https://www.google.com/url?q=https://www.linkedin.com/in/jaeyeonham/&amp;sa=D&amp;ust=1585802058074000&amp;usg=AFQjCNGMPb_2HZwPUL_9aexebUXVULIdmw" TargetMode="External"/><Relationship Id="rId674" Type="http://schemas.openxmlformats.org/officeDocument/2006/relationships/hyperlink" Target="https://www.linkedin.com/in/gatothadi" TargetMode="External"/><Relationship Id="rId881" Type="http://schemas.openxmlformats.org/officeDocument/2006/relationships/hyperlink" Target="https://www.linkedin.com/in/shihengng/" TargetMode="External"/><Relationship Id="rId979" Type="http://schemas.openxmlformats.org/officeDocument/2006/relationships/hyperlink" Target="https://www.linkedin.com/in/amos-ang-sl/" TargetMode="External"/><Relationship Id="rId24" Type="http://schemas.openxmlformats.org/officeDocument/2006/relationships/hyperlink" Target="https://www.linkedin.com/in/jameskdpeacock/" TargetMode="External"/><Relationship Id="rId327" Type="http://schemas.openxmlformats.org/officeDocument/2006/relationships/hyperlink" Target="http://linkedin.com/in/yangminn" TargetMode="External"/><Relationship Id="rId534" Type="http://schemas.openxmlformats.org/officeDocument/2006/relationships/hyperlink" Target="https://www.linkedin.com/in/byarbreda-mahaputra-8186b949/" TargetMode="External"/><Relationship Id="rId741" Type="http://schemas.openxmlformats.org/officeDocument/2006/relationships/hyperlink" Target="https://www.linkedin.com/in/sid-narayanan-38050a3a/" TargetMode="External"/><Relationship Id="rId839" Type="http://schemas.openxmlformats.org/officeDocument/2006/relationships/hyperlink" Target="https://www.linkedin.com/in/wai-leng-wong-9a2456121/" TargetMode="External"/><Relationship Id="rId1164" Type="http://schemas.openxmlformats.org/officeDocument/2006/relationships/hyperlink" Target="https://www.linkedin.com/in/prasanda-martha-sheila-aba13a141/" TargetMode="External"/><Relationship Id="rId173" Type="http://schemas.openxmlformats.org/officeDocument/2006/relationships/hyperlink" Target="http://linkedin.com/in/nadamahardhika" TargetMode="External"/><Relationship Id="rId380" Type="http://schemas.openxmlformats.org/officeDocument/2006/relationships/hyperlink" Target="https://www.linkedin.com/in/ddanieltan/" TargetMode="External"/><Relationship Id="rId601" Type="http://schemas.openxmlformats.org/officeDocument/2006/relationships/hyperlink" Target="https://www.linkedin.com/in/ankabaik/" TargetMode="External"/><Relationship Id="rId1024" Type="http://schemas.openxmlformats.org/officeDocument/2006/relationships/hyperlink" Target="http://www.linkedin.com/in/puteri-salsabila" TargetMode="External"/><Relationship Id="rId240" Type="http://schemas.openxmlformats.org/officeDocument/2006/relationships/hyperlink" Target="https://www.linkedin.com/in/danang-baskoro-p-97770427/" TargetMode="External"/><Relationship Id="rId478" Type="http://schemas.openxmlformats.org/officeDocument/2006/relationships/hyperlink" Target="http://linkedin.com/in/alandradioagastyab" TargetMode="External"/><Relationship Id="rId685" Type="http://schemas.openxmlformats.org/officeDocument/2006/relationships/hyperlink" Target="https://www.linkedin.com/in/michellecm/" TargetMode="External"/><Relationship Id="rId892" Type="http://schemas.openxmlformats.org/officeDocument/2006/relationships/hyperlink" Target="http://linkedin.com/in/kamalakannansankaran" TargetMode="External"/><Relationship Id="rId906" Type="http://schemas.openxmlformats.org/officeDocument/2006/relationships/hyperlink" Target="https://www.linkedin.com/in/saiemamer/" TargetMode="External"/><Relationship Id="rId35" Type="http://schemas.openxmlformats.org/officeDocument/2006/relationships/hyperlink" Target="https://www.linkedin.com/in/pavan-teja-m-looking-fo-job-change-available-immediately-072689142/" TargetMode="External"/><Relationship Id="rId100" Type="http://schemas.openxmlformats.org/officeDocument/2006/relationships/hyperlink" Target="https://www.linkedin.com/in/thibaut-meurgue-guyard-03347744/" TargetMode="External"/><Relationship Id="rId338" Type="http://schemas.openxmlformats.org/officeDocument/2006/relationships/hyperlink" Target="https://www.linkedin.com/in/reyhan-kantaatmadja-75a262152/" TargetMode="External"/><Relationship Id="rId545" Type="http://schemas.openxmlformats.org/officeDocument/2006/relationships/hyperlink" Target="http://www.linkedin.com/in/sandralimsg" TargetMode="External"/><Relationship Id="rId752" Type="http://schemas.openxmlformats.org/officeDocument/2006/relationships/hyperlink" Target="https://www.linkedin.com/in/smruti-sandhya/" TargetMode="External"/><Relationship Id="rId1175" Type="http://schemas.openxmlformats.org/officeDocument/2006/relationships/hyperlink" Target="https://www.linkedin.com/in/danicacoronel/" TargetMode="External"/><Relationship Id="rId184" Type="http://schemas.openxmlformats.org/officeDocument/2006/relationships/hyperlink" Target="https://www.linkedin.com/in/adnanah/" TargetMode="External"/><Relationship Id="rId391" Type="http://schemas.openxmlformats.org/officeDocument/2006/relationships/hyperlink" Target="https://www.linkedin.com/in/adila-haris-b56b3368/" TargetMode="External"/><Relationship Id="rId405" Type="http://schemas.openxmlformats.org/officeDocument/2006/relationships/hyperlink" Target="https://www.linkedin.com/in/ngyilongkelvin/" TargetMode="External"/><Relationship Id="rId612" Type="http://schemas.openxmlformats.org/officeDocument/2006/relationships/hyperlink" Target="https://www.linkedin.com/in/samrichardsondesign/" TargetMode="External"/><Relationship Id="rId1035" Type="http://schemas.openxmlformats.org/officeDocument/2006/relationships/hyperlink" Target="http://www.linkedin.com/in/lukyfitriani" TargetMode="External"/><Relationship Id="rId251" Type="http://schemas.openxmlformats.org/officeDocument/2006/relationships/hyperlink" Target="https://www.linkedin.com/in/fthenardy/" TargetMode="External"/><Relationship Id="rId489" Type="http://schemas.openxmlformats.org/officeDocument/2006/relationships/hyperlink" Target="https://www.linkedin.com/in/elsya-ramadhani-400041ba/" TargetMode="External"/><Relationship Id="rId696" Type="http://schemas.openxmlformats.org/officeDocument/2006/relationships/hyperlink" Target="https://www.linkedin.com/in/theodore-tom/" TargetMode="External"/><Relationship Id="rId917" Type="http://schemas.openxmlformats.org/officeDocument/2006/relationships/hyperlink" Target="https://www.linkedin.com/in/edmund-grey-70b14a39/" TargetMode="External"/><Relationship Id="rId1102" Type="http://schemas.openxmlformats.org/officeDocument/2006/relationships/hyperlink" Target="https://www.google.com/url?q=https://www.linkedin.com/in/vancechinjen&amp;sa=D&amp;ust=1585802058079000&amp;usg=AFQjCNH6S4BYtxB8lQ319dLtnZzmutb3CQ" TargetMode="External"/><Relationship Id="rId46" Type="http://schemas.openxmlformats.org/officeDocument/2006/relationships/hyperlink" Target="http://www.linkedin.com/in/ShermieYaelSoh" TargetMode="External"/><Relationship Id="rId349" Type="http://schemas.openxmlformats.org/officeDocument/2006/relationships/hyperlink" Target="https://www.linkedin.com/in/willcchan/" TargetMode="External"/><Relationship Id="rId556" Type="http://schemas.openxmlformats.org/officeDocument/2006/relationships/hyperlink" Target="https://www.linkedin.com/in/mahdiazhari/" TargetMode="External"/><Relationship Id="rId763" Type="http://schemas.openxmlformats.org/officeDocument/2006/relationships/hyperlink" Target="http://mobilkamu.com/" TargetMode="External"/><Relationship Id="rId1186" Type="http://schemas.openxmlformats.org/officeDocument/2006/relationships/hyperlink" Target="https://www.linkedin.com/in/achirul-akbar-54116bb4/" TargetMode="External"/><Relationship Id="rId111" Type="http://schemas.openxmlformats.org/officeDocument/2006/relationships/hyperlink" Target="https://www.linkedin.com/in/rybolov/" TargetMode="External"/><Relationship Id="rId195" Type="http://schemas.openxmlformats.org/officeDocument/2006/relationships/hyperlink" Target="https://www.linkedin.com/in/shawn-lau-56348430/" TargetMode="External"/><Relationship Id="rId209" Type="http://schemas.openxmlformats.org/officeDocument/2006/relationships/hyperlink" Target="https://www.linkedin.com/in/veliprima/" TargetMode="External"/><Relationship Id="rId416" Type="http://schemas.openxmlformats.org/officeDocument/2006/relationships/hyperlink" Target="https://www.linkedin.com/in/kim-than-a6621087/" TargetMode="External"/><Relationship Id="rId970" Type="http://schemas.openxmlformats.org/officeDocument/2006/relationships/hyperlink" Target="https://www.linkedin.com/in/kevtjua/" TargetMode="External"/><Relationship Id="rId1046" Type="http://schemas.openxmlformats.org/officeDocument/2006/relationships/hyperlink" Target="https://www.linkedin.com/in/alicialee8104/" TargetMode="External"/><Relationship Id="rId623" Type="http://schemas.openxmlformats.org/officeDocument/2006/relationships/hyperlink" Target="https://www.linkedin.com/in/desmond-choo-687a81149/" TargetMode="External"/><Relationship Id="rId830" Type="http://schemas.openxmlformats.org/officeDocument/2006/relationships/hyperlink" Target="https://www.linkedin.com/in/yohanna-tania-4a263260/" TargetMode="External"/><Relationship Id="rId928" Type="http://schemas.openxmlformats.org/officeDocument/2006/relationships/hyperlink" Target="https://www.linkedin.com/in/ozair-sarwar/" TargetMode="External"/><Relationship Id="rId57" Type="http://schemas.openxmlformats.org/officeDocument/2006/relationships/hyperlink" Target="https://www.linkedin.com/in/chitongip?originalSubdomain=hk" TargetMode="External"/><Relationship Id="rId262" Type="http://schemas.openxmlformats.org/officeDocument/2006/relationships/hyperlink" Target="https://www.linkedin.com/in/willy-ahmad-syafiq-35095610a/" TargetMode="External"/><Relationship Id="rId567" Type="http://schemas.openxmlformats.org/officeDocument/2006/relationships/hyperlink" Target="https://www.linkedin.com/in/gabriellacynthiasadono/" TargetMode="External"/><Relationship Id="rId1113" Type="http://schemas.openxmlformats.org/officeDocument/2006/relationships/hyperlink" Target="https://www.google.com/url?q=https://www.linkedin.com/in/khandelwaladiti/&amp;sa=D&amp;ust=1585802058095000&amp;usg=AFQjCNEqi2zFEMye_BpCL_mFJvJnnAz6ng" TargetMode="External"/><Relationship Id="rId1197" Type="http://schemas.openxmlformats.org/officeDocument/2006/relationships/hyperlink" Target="https://www.linkedin.com/in/henri-tompodung-3939b158/" TargetMode="External"/><Relationship Id="rId122" Type="http://schemas.openxmlformats.org/officeDocument/2006/relationships/hyperlink" Target="https://www.linkedin.com/in/fitrianingsih/" TargetMode="External"/><Relationship Id="rId774" Type="http://schemas.openxmlformats.org/officeDocument/2006/relationships/hyperlink" Target="https://www.linkedin.com/in/robert-l-hodges-9997039?lipi=urn%3Ali%3Apage%3Ad_flagship3_profile_view_base_contact_details%3Be7KffeNPSbOlkVKUiNx7%2Fw%3D%3D" TargetMode="External"/><Relationship Id="rId981" Type="http://schemas.openxmlformats.org/officeDocument/2006/relationships/hyperlink" Target="https://www.linkedin.com/in/peter-giakoumelos-71003b4" TargetMode="External"/><Relationship Id="rId1057" Type="http://schemas.openxmlformats.org/officeDocument/2006/relationships/hyperlink" Target="https://www.google.com/url?q=https://www.linkedin.com/in/tanmoy-chakraborty-720391a4/&amp;sa=D&amp;ust=1585802058034000&amp;usg=AFQjCNFPLHnhbCae1P5A6XMDupb9kz6P-A" TargetMode="External"/><Relationship Id="rId427" Type="http://schemas.openxmlformats.org/officeDocument/2006/relationships/hyperlink" Target="https://www.linkedin.com/in/leejaclyn/" TargetMode="External"/><Relationship Id="rId634" Type="http://schemas.openxmlformats.org/officeDocument/2006/relationships/hyperlink" Target="http://www.linkedin.com/in/syadzwina-putri-ghaisani-3ab71b1a3" TargetMode="External"/><Relationship Id="rId841" Type="http://schemas.openxmlformats.org/officeDocument/2006/relationships/hyperlink" Target="https://www.linkedin.com/in/jill-lu-44642970/" TargetMode="External"/><Relationship Id="rId273" Type="http://schemas.openxmlformats.org/officeDocument/2006/relationships/hyperlink" Target="http://linkedin.com/in/frick-margonoharto-2b913474" TargetMode="External"/><Relationship Id="rId480" Type="http://schemas.openxmlformats.org/officeDocument/2006/relationships/hyperlink" Target="https://www.linkedin.com/in/fauziananta/" TargetMode="External"/><Relationship Id="rId701" Type="http://schemas.openxmlformats.org/officeDocument/2006/relationships/hyperlink" Target="https://www.linkedin.com/in/rudolfodoh/" TargetMode="External"/><Relationship Id="rId939" Type="http://schemas.openxmlformats.org/officeDocument/2006/relationships/hyperlink" Target="http://www.linkedin.com/in/abhishek-bachchan-708761192" TargetMode="External"/><Relationship Id="rId1124" Type="http://schemas.openxmlformats.org/officeDocument/2006/relationships/hyperlink" Target="https://www.google.com/url?q=https://www.linkedin.com/in/sean-poh-52791031/&amp;sa=D&amp;ust=1585802058107000&amp;usg=AFQjCNGZ6oErTjiZKfwYvi7PwLu80L7A2g" TargetMode="External"/><Relationship Id="rId68" Type="http://schemas.openxmlformats.org/officeDocument/2006/relationships/hyperlink" Target="https://www.linkedin.com/in/azmishahrul/" TargetMode="External"/><Relationship Id="rId133" Type="http://schemas.openxmlformats.org/officeDocument/2006/relationships/hyperlink" Target="http://getzave.com/" TargetMode="External"/><Relationship Id="rId340" Type="http://schemas.openxmlformats.org/officeDocument/2006/relationships/hyperlink" Target="https://www.linkedin.com/in/michelle-francisca-lee/" TargetMode="External"/><Relationship Id="rId578" Type="http://schemas.openxmlformats.org/officeDocument/2006/relationships/hyperlink" Target="https://www.linkedin.com/in/barkah-agung-sanyoto-a6334945" TargetMode="External"/><Relationship Id="rId785" Type="http://schemas.openxmlformats.org/officeDocument/2006/relationships/hyperlink" Target="https://www.linkedin.com/in/afdisavarma/" TargetMode="External"/><Relationship Id="rId992" Type="http://schemas.openxmlformats.org/officeDocument/2006/relationships/hyperlink" Target="https://www.linkedin.com/in/reynaldi-elkharismawan/" TargetMode="External"/><Relationship Id="rId200" Type="http://schemas.openxmlformats.org/officeDocument/2006/relationships/hyperlink" Target="http://linkedin.com/in/rishi-arora-10379a183" TargetMode="External"/><Relationship Id="rId438" Type="http://schemas.openxmlformats.org/officeDocument/2006/relationships/hyperlink" Target="https://www.linkedin.com/in/nachopalacios/" TargetMode="External"/><Relationship Id="rId645" Type="http://schemas.openxmlformats.org/officeDocument/2006/relationships/hyperlink" Target="https://www.linkedin.com/in/hardlexander/" TargetMode="External"/><Relationship Id="rId852" Type="http://schemas.openxmlformats.org/officeDocument/2006/relationships/hyperlink" Target="https://www.linkedin.com/in/tanrio-sj/" TargetMode="External"/><Relationship Id="rId1068" Type="http://schemas.openxmlformats.org/officeDocument/2006/relationships/hyperlink" Target="https://www.google.com/url?q=https://www.linkedin.com/in/chan-mye-win-514163190/&amp;sa=D&amp;ust=1585802058045000&amp;usg=AFQjCNE01vEnCYmOAKj5Lv-GO9FsGN68kg" TargetMode="External"/><Relationship Id="rId284" Type="http://schemas.openxmlformats.org/officeDocument/2006/relationships/hyperlink" Target="https://www.linkedin.com/in/davidramli/" TargetMode="External"/><Relationship Id="rId491" Type="http://schemas.openxmlformats.org/officeDocument/2006/relationships/hyperlink" Target="https://www.linkedin.com/in/cavinagustanto/" TargetMode="External"/><Relationship Id="rId505" Type="http://schemas.openxmlformats.org/officeDocument/2006/relationships/hyperlink" Target="https://www.linkedin.com/in/supriy-sengar-79520b64/" TargetMode="External"/><Relationship Id="rId712" Type="http://schemas.openxmlformats.org/officeDocument/2006/relationships/hyperlink" Target="http://loopup.com/" TargetMode="External"/><Relationship Id="rId1135" Type="http://schemas.openxmlformats.org/officeDocument/2006/relationships/hyperlink" Target="https://www.google.com/url?q=https://www.linkedin.com/in/sarah-dillon-mcguinness-01664477/&amp;sa=D&amp;ust=1585802058114000&amp;usg=AFQjCNFf7L0El5J5NAhfHqo7OsTsiVRI8w" TargetMode="External"/><Relationship Id="rId79" Type="http://schemas.openxmlformats.org/officeDocument/2006/relationships/hyperlink" Target="https://www.linkedin.com/in/pranalim/" TargetMode="External"/><Relationship Id="rId144" Type="http://schemas.openxmlformats.org/officeDocument/2006/relationships/hyperlink" Target="https://www.linkedin.com/in/robin-bonnin-094274b2/" TargetMode="External"/><Relationship Id="rId589" Type="http://schemas.openxmlformats.org/officeDocument/2006/relationships/hyperlink" Target="https://www.linkedin.com/in/chperdana/" TargetMode="External"/><Relationship Id="rId796" Type="http://schemas.openxmlformats.org/officeDocument/2006/relationships/hyperlink" Target="https://www.linkedin.com/in/jennngan/" TargetMode="External"/><Relationship Id="rId1202" Type="http://schemas.openxmlformats.org/officeDocument/2006/relationships/hyperlink" Target="https://www.linkedin.com/in/ririn-zulandra-4a7a52ba/" TargetMode="External"/><Relationship Id="rId351" Type="http://schemas.openxmlformats.org/officeDocument/2006/relationships/hyperlink" Target="https://www.linkedin.com/in/danielaungart/" TargetMode="External"/><Relationship Id="rId449" Type="http://schemas.openxmlformats.org/officeDocument/2006/relationships/hyperlink" Target="http://linkedin.com/in/belle-lim" TargetMode="External"/><Relationship Id="rId656" Type="http://schemas.openxmlformats.org/officeDocument/2006/relationships/hyperlink" Target="https://www.linkedin.com/in/anthony-kosasi-840869146/" TargetMode="External"/><Relationship Id="rId863" Type="http://schemas.openxmlformats.org/officeDocument/2006/relationships/hyperlink" Target="http://linkedin.com/in/putri-pratiwi-075570183" TargetMode="External"/><Relationship Id="rId1079" Type="http://schemas.openxmlformats.org/officeDocument/2006/relationships/hyperlink" Target="https://www.google.com/url?q=https://www.linkedin.com/in/akshay-ishwar/&amp;sa=D&amp;ust=1585802058056000&amp;usg=AFQjCNGGU0GKrjG1pmUR8YFTR5QZe5DZCg" TargetMode="External"/><Relationship Id="rId211" Type="http://schemas.openxmlformats.org/officeDocument/2006/relationships/hyperlink" Target="https://www.linkedin.com/in/susilawati/" TargetMode="External"/><Relationship Id="rId295" Type="http://schemas.openxmlformats.org/officeDocument/2006/relationships/hyperlink" Target="https://www.linkedin.com/in/awid-setyohutomo-2b47112b" TargetMode="External"/><Relationship Id="rId309" Type="http://schemas.openxmlformats.org/officeDocument/2006/relationships/hyperlink" Target="http://linkedin.com/in/neynarhm" TargetMode="External"/><Relationship Id="rId516" Type="http://schemas.openxmlformats.org/officeDocument/2006/relationships/hyperlink" Target="https://www.linkedin.com/in/assia-kasdi-28155665/" TargetMode="External"/><Relationship Id="rId1146" Type="http://schemas.openxmlformats.org/officeDocument/2006/relationships/hyperlink" Target="https://www.linkedin.com/in/gilyn-heng-58405a40" TargetMode="External"/><Relationship Id="rId723" Type="http://schemas.openxmlformats.org/officeDocument/2006/relationships/hyperlink" Target="https://www.linkedin.com/in/beatriz-dela-cruz-20b94926/" TargetMode="External"/><Relationship Id="rId930" Type="http://schemas.openxmlformats.org/officeDocument/2006/relationships/hyperlink" Target="https://www.linkedin.com/in/gillianjiang/" TargetMode="External"/><Relationship Id="rId1006" Type="http://schemas.openxmlformats.org/officeDocument/2006/relationships/hyperlink" Target="https://www.linkedin.com/in/aries-sulaksono" TargetMode="External"/><Relationship Id="rId155" Type="http://schemas.openxmlformats.org/officeDocument/2006/relationships/hyperlink" Target="https://www.linkedin.com/mwlite/in/rizqieauliaf" TargetMode="External"/><Relationship Id="rId362" Type="http://schemas.openxmlformats.org/officeDocument/2006/relationships/hyperlink" Target="https://www.linkedin.com/in/evelinasinkeviciute/" TargetMode="External"/><Relationship Id="rId222" Type="http://schemas.openxmlformats.org/officeDocument/2006/relationships/hyperlink" Target="https://www.linkedin.com/in/rahulisb/" TargetMode="External"/><Relationship Id="rId667" Type="http://schemas.openxmlformats.org/officeDocument/2006/relationships/hyperlink" Target="https://www.linkedin.com/in/alexanderrichardlie/" TargetMode="External"/><Relationship Id="rId874" Type="http://schemas.openxmlformats.org/officeDocument/2006/relationships/hyperlink" Target="http://linkedin.com/in/putri-pratiwi-075570183" TargetMode="External"/><Relationship Id="rId17" Type="http://schemas.openxmlformats.org/officeDocument/2006/relationships/hyperlink" Target="https://www.linkedin.com/in/ronenlamdan" TargetMode="External"/><Relationship Id="rId527" Type="http://schemas.openxmlformats.org/officeDocument/2006/relationships/hyperlink" Target="https://www.linkedin.com/in/nickyyo/" TargetMode="External"/><Relationship Id="rId734" Type="http://schemas.openxmlformats.org/officeDocument/2006/relationships/hyperlink" Target="https://www.linkedin.com/in/arbiyan/" TargetMode="External"/><Relationship Id="rId941" Type="http://schemas.openxmlformats.org/officeDocument/2006/relationships/hyperlink" Target="https://www.linkedin.com/in/sk2769/" TargetMode="External"/><Relationship Id="rId1157" Type="http://schemas.openxmlformats.org/officeDocument/2006/relationships/hyperlink" Target="https://www.linkedin.com/in/vanya-putridita-143a31168/" TargetMode="External"/><Relationship Id="rId70" Type="http://schemas.openxmlformats.org/officeDocument/2006/relationships/hyperlink" Target="https://www.linkedin.com/in/eugene-ong-097a303/" TargetMode="External"/><Relationship Id="rId166" Type="http://schemas.openxmlformats.org/officeDocument/2006/relationships/hyperlink" Target="http://booking.com/" TargetMode="External"/><Relationship Id="rId373" Type="http://schemas.openxmlformats.org/officeDocument/2006/relationships/hyperlink" Target="https://www.linkedin.com/in/janelle-lim-750787135" TargetMode="External"/><Relationship Id="rId580" Type="http://schemas.openxmlformats.org/officeDocument/2006/relationships/hyperlink" Target="https://www.linkedin.com/in/ratna-djohan-b65b1012a" TargetMode="External"/><Relationship Id="rId801" Type="http://schemas.openxmlformats.org/officeDocument/2006/relationships/hyperlink" Target="https://www.linkedin.com/in/yudhi-yogaswara-8454021b/" TargetMode="External"/><Relationship Id="rId1017" Type="http://schemas.openxmlformats.org/officeDocument/2006/relationships/hyperlink" Target="https://www.linkedin.com/in/satriyo-utomo-663b1393/" TargetMode="External"/><Relationship Id="rId1" Type="http://schemas.openxmlformats.org/officeDocument/2006/relationships/hyperlink" Target="https://www.linkedin.com/in/muhammad-muflih-574b2b71/" TargetMode="External"/><Relationship Id="rId233" Type="http://schemas.openxmlformats.org/officeDocument/2006/relationships/hyperlink" Target="https://www.linkedin.com/in/brendanduong1/" TargetMode="External"/><Relationship Id="rId440" Type="http://schemas.openxmlformats.org/officeDocument/2006/relationships/hyperlink" Target="https://www.linkedin.com/in/ali-aria-p/" TargetMode="External"/><Relationship Id="rId678" Type="http://schemas.openxmlformats.org/officeDocument/2006/relationships/hyperlink" Target="https://www.linkedin.com/in/fatwiarni-58b49824/" TargetMode="External"/><Relationship Id="rId885" Type="http://schemas.openxmlformats.org/officeDocument/2006/relationships/hyperlink" Target="http://www.linkedin.com/in/jishnabole/" TargetMode="External"/><Relationship Id="rId1070" Type="http://schemas.openxmlformats.org/officeDocument/2006/relationships/hyperlink" Target="https://www.google.com/url?q=https://www.linkedin.com/in/lpatra/&amp;sa=D&amp;ust=1585802058047000&amp;usg=AFQjCNGyjr77mCA_Ihk_JbOSdpx3kaj2jQ" TargetMode="External"/><Relationship Id="rId28" Type="http://schemas.openxmlformats.org/officeDocument/2006/relationships/hyperlink" Target="https://linkedin.com/in/vferdiansyah" TargetMode="External"/><Relationship Id="rId300" Type="http://schemas.openxmlformats.org/officeDocument/2006/relationships/hyperlink" Target="https://www.linkedin.com/in/ploy-thaniyanunthakul-5a51b685/" TargetMode="External"/><Relationship Id="rId538" Type="http://schemas.openxmlformats.org/officeDocument/2006/relationships/hyperlink" Target="https://www.linkedin.com/in/nicolas-tjahja-saputra-9a5a1482/" TargetMode="External"/><Relationship Id="rId745" Type="http://schemas.openxmlformats.org/officeDocument/2006/relationships/hyperlink" Target="http://linkedin.com/in/reynmyap/" TargetMode="External"/><Relationship Id="rId952" Type="http://schemas.openxmlformats.org/officeDocument/2006/relationships/hyperlink" Target="https://www.linkedin.com/in/ariane-audrey-g-237894191" TargetMode="External"/><Relationship Id="rId1168" Type="http://schemas.openxmlformats.org/officeDocument/2006/relationships/hyperlink" Target="https://www.linkedin.com/in/joshua-tremonti-50a6a1127/" TargetMode="External"/><Relationship Id="rId81" Type="http://schemas.openxmlformats.org/officeDocument/2006/relationships/hyperlink" Target="https://sg.linkedin.com/in/digitalmarketingfoods" TargetMode="External"/><Relationship Id="rId177" Type="http://schemas.openxmlformats.org/officeDocument/2006/relationships/hyperlink" Target="https://www.linkedin.com/in/adream-bais-jr-0b7570136/" TargetMode="External"/><Relationship Id="rId384" Type="http://schemas.openxmlformats.org/officeDocument/2006/relationships/hyperlink" Target="http://linkedin.com/in/sanya-agarwal-b50232110" TargetMode="External"/><Relationship Id="rId591" Type="http://schemas.openxmlformats.org/officeDocument/2006/relationships/hyperlink" Target="http://www.linkedin.com/in/thanh-t-vu-93894089" TargetMode="External"/><Relationship Id="rId605" Type="http://schemas.openxmlformats.org/officeDocument/2006/relationships/hyperlink" Target="https://www.linkedin.com/in/charlotte-bradburn-a91a3141/" TargetMode="External"/><Relationship Id="rId812" Type="http://schemas.openxmlformats.org/officeDocument/2006/relationships/hyperlink" Target="https://www.linkedin.com/in/trah-nugroho/" TargetMode="External"/><Relationship Id="rId1028" Type="http://schemas.openxmlformats.org/officeDocument/2006/relationships/hyperlink" Target="http://linkedin.com/in/radityaw" TargetMode="External"/><Relationship Id="rId244" Type="http://schemas.openxmlformats.org/officeDocument/2006/relationships/hyperlink" Target="https://www.linkedin.com/in/deden-wijaya/" TargetMode="External"/><Relationship Id="rId689" Type="http://schemas.openxmlformats.org/officeDocument/2006/relationships/hyperlink" Target="https://www.linkedin.com/in/marta-sypniewska-04150729/" TargetMode="External"/><Relationship Id="rId896" Type="http://schemas.openxmlformats.org/officeDocument/2006/relationships/hyperlink" Target="https://www.linkedin.com/in/veraneo/" TargetMode="External"/><Relationship Id="rId1081" Type="http://schemas.openxmlformats.org/officeDocument/2006/relationships/hyperlink" Target="https://www.google.com/url?q=https://www.linkedin.com/in/nanthakumar-ananthan-5a4bb6184/&amp;sa=D&amp;ust=1585802058059000&amp;usg=AFQjCNFSFiB9N9NDOfdQ-6plX61l_llX6g" TargetMode="External"/><Relationship Id="rId39" Type="http://schemas.openxmlformats.org/officeDocument/2006/relationships/hyperlink" Target="https://www.linkedin.com/in/kanupriyadhawan/" TargetMode="External"/><Relationship Id="rId451" Type="http://schemas.openxmlformats.org/officeDocument/2006/relationships/hyperlink" Target="https://www.linkedin.com/in/danial-mustafah-khamal-244a9b152/" TargetMode="External"/><Relationship Id="rId549" Type="http://schemas.openxmlformats.org/officeDocument/2006/relationships/hyperlink" Target="https://www.linkedin.com/in/nicolas-tjahja-saputra-9a5a1482/" TargetMode="External"/><Relationship Id="rId756" Type="http://schemas.openxmlformats.org/officeDocument/2006/relationships/hyperlink" Target="https://www.linkedin.com/in/jekky-wijaya-213295167" TargetMode="External"/><Relationship Id="rId1179" Type="http://schemas.openxmlformats.org/officeDocument/2006/relationships/hyperlink" Target="https://www.linkedin.com/in/elvithe/" TargetMode="External"/><Relationship Id="rId104" Type="http://schemas.openxmlformats.org/officeDocument/2006/relationships/hyperlink" Target="http://linkedin.com/in/christopherandrew09/" TargetMode="External"/><Relationship Id="rId188" Type="http://schemas.openxmlformats.org/officeDocument/2006/relationships/hyperlink" Target="https://www.linkedin.com/in/ekacitra" TargetMode="External"/><Relationship Id="rId311" Type="http://schemas.openxmlformats.org/officeDocument/2006/relationships/hyperlink" Target="https://www.linkedin.com/in/shella-meliyana-56891072/" TargetMode="External"/><Relationship Id="rId395" Type="http://schemas.openxmlformats.org/officeDocument/2006/relationships/hyperlink" Target="https://www.linkedin.com/in/faizal-egi-firmansyah-630b0b112" TargetMode="External"/><Relationship Id="rId409" Type="http://schemas.openxmlformats.org/officeDocument/2006/relationships/hyperlink" Target="http://www.linkedin.com/in/amierulnasir" TargetMode="External"/><Relationship Id="rId963" Type="http://schemas.openxmlformats.org/officeDocument/2006/relationships/hyperlink" Target="https://www.linkedin.com/in/shreya-nayar-8100b9147/" TargetMode="External"/><Relationship Id="rId1039" Type="http://schemas.openxmlformats.org/officeDocument/2006/relationships/hyperlink" Target="http://linkedin.com/in/dinnaputriaprila" TargetMode="External"/><Relationship Id="rId92" Type="http://schemas.openxmlformats.org/officeDocument/2006/relationships/hyperlink" Target="https://www.linkedin.com/in/kexin-leong-97559316a/" TargetMode="External"/><Relationship Id="rId616" Type="http://schemas.openxmlformats.org/officeDocument/2006/relationships/hyperlink" Target="https://www.linkedin.com/in/limsien/" TargetMode="External"/><Relationship Id="rId823" Type="http://schemas.openxmlformats.org/officeDocument/2006/relationships/hyperlink" Target="https://www.linkedin.com/in/shawnlwb/" TargetMode="External"/><Relationship Id="rId255" Type="http://schemas.openxmlformats.org/officeDocument/2006/relationships/hyperlink" Target="http://www.linkedin.com/in/reynold-stefanus-61680a16" TargetMode="External"/><Relationship Id="rId462" Type="http://schemas.openxmlformats.org/officeDocument/2006/relationships/hyperlink" Target="https://www.linkedin.com/in/michael-chandra-345651133/" TargetMode="External"/><Relationship Id="rId1092" Type="http://schemas.openxmlformats.org/officeDocument/2006/relationships/hyperlink" Target="https://www.google.com/url?q=https://www.linkedin.com/in/rizkidwiputra&amp;sa=D&amp;ust=1585802058070000&amp;usg=AFQjCNFVh_poqIRUTZuybzMhCiB8QRL5uQ" TargetMode="External"/><Relationship Id="rId1106" Type="http://schemas.openxmlformats.org/officeDocument/2006/relationships/hyperlink" Target="https://www.google.com/url?q=https://www.linkedin.com/in/raphael-agoncillo-8661074b/&amp;sa=D&amp;ust=1585802058084000&amp;usg=AFQjCNFj2FRx_ffbSA7LTpQo4IREitvA-g" TargetMode="External"/><Relationship Id="rId115" Type="http://schemas.openxmlformats.org/officeDocument/2006/relationships/hyperlink" Target="https://www.linkedin.com/in/arvidyap/" TargetMode="External"/><Relationship Id="rId322" Type="http://schemas.openxmlformats.org/officeDocument/2006/relationships/hyperlink" Target="https://www.linkedin.com/in/vidyut-singhania-26966434" TargetMode="External"/><Relationship Id="rId767" Type="http://schemas.openxmlformats.org/officeDocument/2006/relationships/hyperlink" Target="https://www.linkedin.com/in/yelwinsoe/" TargetMode="External"/><Relationship Id="rId974" Type="http://schemas.openxmlformats.org/officeDocument/2006/relationships/hyperlink" Target="https://www.linkedin.com/in/andhika-wahyu/" TargetMode="External"/><Relationship Id="rId199" Type="http://schemas.openxmlformats.org/officeDocument/2006/relationships/hyperlink" Target="https://www.linkedin.com/in/raphaelchabaud/" TargetMode="External"/><Relationship Id="rId627" Type="http://schemas.openxmlformats.org/officeDocument/2006/relationships/hyperlink" Target="https://www.linkedin.com/in/adi-perkasa-19026560/" TargetMode="External"/><Relationship Id="rId834" Type="http://schemas.openxmlformats.org/officeDocument/2006/relationships/hyperlink" Target="https://www.linkedin.com/in/mohammad-iqbal-02237244/" TargetMode="External"/><Relationship Id="rId266" Type="http://schemas.openxmlformats.org/officeDocument/2006/relationships/hyperlink" Target="http://linkedin.com/in/afini-sari-nasution-20368842" TargetMode="External"/><Relationship Id="rId473" Type="http://schemas.openxmlformats.org/officeDocument/2006/relationships/hyperlink" Target="https://www.linkedin.com/in/soumyapachigolla" TargetMode="External"/><Relationship Id="rId680" Type="http://schemas.openxmlformats.org/officeDocument/2006/relationships/hyperlink" Target="https://www.linkedin.com/in/agarwalpriyank/" TargetMode="External"/><Relationship Id="rId901" Type="http://schemas.openxmlformats.org/officeDocument/2006/relationships/hyperlink" Target="http://tiket.com/" TargetMode="External"/><Relationship Id="rId1117" Type="http://schemas.openxmlformats.org/officeDocument/2006/relationships/hyperlink" Target="https://www.google.com/url?q=https://www.linkedin.com/in/huijie-wu-41831867/&amp;sa=D&amp;ust=1585802058100000&amp;usg=AFQjCNH7LFQp5QsrsrzwU0b-wKAYJSugVg" TargetMode="External"/><Relationship Id="rId30" Type="http://schemas.openxmlformats.org/officeDocument/2006/relationships/hyperlink" Target="https://linkedin.com/in/mevrael" TargetMode="External"/><Relationship Id="rId126" Type="http://schemas.openxmlformats.org/officeDocument/2006/relationships/hyperlink" Target="https://www.linkedin.com/in/arfian/" TargetMode="External"/><Relationship Id="rId333" Type="http://schemas.openxmlformats.org/officeDocument/2006/relationships/hyperlink" Target="https://www.linkedin.com/in/hendrytjiu/" TargetMode="External"/><Relationship Id="rId540" Type="http://schemas.openxmlformats.org/officeDocument/2006/relationships/hyperlink" Target="http://www.linkedin.com/in/leandrobark" TargetMode="External"/><Relationship Id="rId778" Type="http://schemas.openxmlformats.org/officeDocument/2006/relationships/hyperlink" Target="https://www.linkedin.com/in/chaitali-dutt-2b145aa/" TargetMode="External"/><Relationship Id="rId985" Type="http://schemas.openxmlformats.org/officeDocument/2006/relationships/hyperlink" Target="https://www.linkedin.com/in/drmaneeshmishra/" TargetMode="External"/><Relationship Id="rId1170" Type="http://schemas.openxmlformats.org/officeDocument/2006/relationships/hyperlink" Target="https://www.linkedin.com/in/reinarddy-djohan-05193811b/" TargetMode="External"/><Relationship Id="rId638" Type="http://schemas.openxmlformats.org/officeDocument/2006/relationships/hyperlink" Target="https://www.linkedin.com/in/satyagumilang/" TargetMode="External"/><Relationship Id="rId845" Type="http://schemas.openxmlformats.org/officeDocument/2006/relationships/hyperlink" Target="https://www.linkedin.com/in/ankit-khurana-a0901940/" TargetMode="External"/><Relationship Id="rId1030" Type="http://schemas.openxmlformats.org/officeDocument/2006/relationships/hyperlink" Target="https://www.linkedin.com/in/ali-yaakub-680b5152/" TargetMode="External"/><Relationship Id="rId277" Type="http://schemas.openxmlformats.org/officeDocument/2006/relationships/hyperlink" Target="https://www.linkedin.com/in/apichainakalasin/" TargetMode="External"/><Relationship Id="rId400" Type="http://schemas.openxmlformats.org/officeDocument/2006/relationships/hyperlink" Target="https://www.linkedin.com/in/elizabethteh/" TargetMode="External"/><Relationship Id="rId484" Type="http://schemas.openxmlformats.org/officeDocument/2006/relationships/hyperlink" Target="http://www.linkedin.com/in/christo-hanafi-ab9171160" TargetMode="External"/><Relationship Id="rId705" Type="http://schemas.openxmlformats.org/officeDocument/2006/relationships/hyperlink" Target="https://www.linkedin.com/in/candice-gallagher-singapore/" TargetMode="External"/><Relationship Id="rId1128" Type="http://schemas.openxmlformats.org/officeDocument/2006/relationships/hyperlink" Target="https://www.google.com/url?q=https://www.linkedin.com/in/pratansyah/&amp;sa=D&amp;ust=1585802058110000&amp;usg=AFQjCNH805LxPp-tsqJfBUj9MKR2AfuaIw" TargetMode="External"/><Relationship Id="rId137" Type="http://schemas.openxmlformats.org/officeDocument/2006/relationships/hyperlink" Target="https://www.linkedin.com/in/evatriyulianti/" TargetMode="External"/><Relationship Id="rId344" Type="http://schemas.openxmlformats.org/officeDocument/2006/relationships/hyperlink" Target="http://www.linkedin.com/junjie85" TargetMode="External"/><Relationship Id="rId691" Type="http://schemas.openxmlformats.org/officeDocument/2006/relationships/hyperlink" Target="https://www.linkedin.com/in/putri-ratnasari-a49aa5121/" TargetMode="External"/><Relationship Id="rId789" Type="http://schemas.openxmlformats.org/officeDocument/2006/relationships/hyperlink" Target="https://www.linkedin.com/in/adhikalim/" TargetMode="External"/><Relationship Id="rId912" Type="http://schemas.openxmlformats.org/officeDocument/2006/relationships/hyperlink" Target="https://www.linkedin.com/in/john-matthew-flores-04a239aa/" TargetMode="External"/><Relationship Id="rId996" Type="http://schemas.openxmlformats.org/officeDocument/2006/relationships/hyperlink" Target="https://www.linkedin.com/in/mursid-broto-asmoro-21775190" TargetMode="External"/><Relationship Id="rId41" Type="http://schemas.openxmlformats.org/officeDocument/2006/relationships/hyperlink" Target="https://www.linkedin.com/in/alambudiansya/" TargetMode="External"/><Relationship Id="rId551" Type="http://schemas.openxmlformats.org/officeDocument/2006/relationships/hyperlink" Target="https://www.linkedin.com/in/yap-wen-qin-30291238/" TargetMode="External"/><Relationship Id="rId649" Type="http://schemas.openxmlformats.org/officeDocument/2006/relationships/hyperlink" Target="http://linkedin.com/in/yudhi-saputra-06943216a" TargetMode="External"/><Relationship Id="rId856" Type="http://schemas.openxmlformats.org/officeDocument/2006/relationships/hyperlink" Target="https://www.linkedin.com/in/chester-lum-2a18b2b7/" TargetMode="External"/><Relationship Id="rId1181" Type="http://schemas.openxmlformats.org/officeDocument/2006/relationships/hyperlink" Target="https://www.linkedin.com/in/sebo-banerjee/" TargetMode="External"/><Relationship Id="rId190" Type="http://schemas.openxmlformats.org/officeDocument/2006/relationships/hyperlink" Target="https://id.linkedin.com/in/fransiscustobias" TargetMode="External"/><Relationship Id="rId204" Type="http://schemas.openxmlformats.org/officeDocument/2006/relationships/hyperlink" Target="https://www.linkedin.com/in/mohammedjamilnasir/" TargetMode="External"/><Relationship Id="rId288" Type="http://schemas.openxmlformats.org/officeDocument/2006/relationships/hyperlink" Target="https://www.linkedin.com/in/maria-agustin" TargetMode="External"/><Relationship Id="rId411" Type="http://schemas.openxmlformats.org/officeDocument/2006/relationships/hyperlink" Target="https://www.linkedin.com/in/zafri-jeffri-9716139b/" TargetMode="External"/><Relationship Id="rId509" Type="http://schemas.openxmlformats.org/officeDocument/2006/relationships/hyperlink" Target="https://www.linkedin.com/in/johnpatrixx/" TargetMode="External"/><Relationship Id="rId1041" Type="http://schemas.openxmlformats.org/officeDocument/2006/relationships/hyperlink" Target="http://www.linkedin.com/in/joshua-c-5268a743" TargetMode="External"/><Relationship Id="rId1139" Type="http://schemas.openxmlformats.org/officeDocument/2006/relationships/hyperlink" Target="https://www.linkedin.com/in/kriszhang01/" TargetMode="External"/><Relationship Id="rId495" Type="http://schemas.openxmlformats.org/officeDocument/2006/relationships/hyperlink" Target="https://www.linkedin.com/in/vinessa-lucia-099513191/" TargetMode="External"/><Relationship Id="rId716" Type="http://schemas.openxmlformats.org/officeDocument/2006/relationships/hyperlink" Target="http://www.linkedin.com/in/fiona-toon-1375b2149" TargetMode="External"/><Relationship Id="rId923" Type="http://schemas.openxmlformats.org/officeDocument/2006/relationships/hyperlink" Target="https://www.linkedin.com/in/amitava-mandal/" TargetMode="External"/><Relationship Id="rId52" Type="http://schemas.openxmlformats.org/officeDocument/2006/relationships/hyperlink" Target="http://www.flightclaimeu.com/" TargetMode="External"/><Relationship Id="rId148" Type="http://schemas.openxmlformats.org/officeDocument/2006/relationships/hyperlink" Target="http://linkedin.com/in/albertoplatas" TargetMode="External"/><Relationship Id="rId355" Type="http://schemas.openxmlformats.org/officeDocument/2006/relationships/hyperlink" Target="http://www.linkedin.com/in/ap-wagner" TargetMode="External"/><Relationship Id="rId562" Type="http://schemas.openxmlformats.org/officeDocument/2006/relationships/hyperlink" Target="https://www.linkedin.com/in/cynthia-tehuayo/" TargetMode="External"/><Relationship Id="rId1192" Type="http://schemas.openxmlformats.org/officeDocument/2006/relationships/hyperlink" Target="https://www.linkedin.com/in/qinanprayoga/" TargetMode="External"/><Relationship Id="rId1206" Type="http://schemas.openxmlformats.org/officeDocument/2006/relationships/hyperlink" Target="https://www.linkedin.com/in/riopermana/" TargetMode="External"/><Relationship Id="rId215" Type="http://schemas.openxmlformats.org/officeDocument/2006/relationships/hyperlink" Target="https://www.linkedin.com/in/adhish-singh" TargetMode="External"/><Relationship Id="rId422" Type="http://schemas.openxmlformats.org/officeDocument/2006/relationships/hyperlink" Target="https://www.linkedin.com/mwlite/in/christy-c-39568366" TargetMode="External"/><Relationship Id="rId867" Type="http://schemas.openxmlformats.org/officeDocument/2006/relationships/hyperlink" Target="https://www.linkedin.com/in/reginagabriela/" TargetMode="External"/><Relationship Id="rId1052" Type="http://schemas.openxmlformats.org/officeDocument/2006/relationships/hyperlink" Target="https://www.linkedin.com/in/dwi-bastiaan-394b0768" TargetMode="External"/><Relationship Id="rId299" Type="http://schemas.openxmlformats.org/officeDocument/2006/relationships/hyperlink" Target="https://www.linkedin.com/in/lydia-inawati-9472429a/" TargetMode="External"/><Relationship Id="rId727" Type="http://schemas.openxmlformats.org/officeDocument/2006/relationships/hyperlink" Target="https://my.linkedin.com/in/shiorimurayama" TargetMode="External"/><Relationship Id="rId934" Type="http://schemas.openxmlformats.org/officeDocument/2006/relationships/hyperlink" Target="http://www.linkedin.com/in/jayaramp" TargetMode="External"/><Relationship Id="rId63" Type="http://schemas.openxmlformats.org/officeDocument/2006/relationships/hyperlink" Target="https://www.linkedin.com/in/gangesh-chawla-cfo/" TargetMode="External"/><Relationship Id="rId159" Type="http://schemas.openxmlformats.org/officeDocument/2006/relationships/hyperlink" Target="http://www.linkedin.com/in/mohit-taneja-731771a9" TargetMode="External"/><Relationship Id="rId366" Type="http://schemas.openxmlformats.org/officeDocument/2006/relationships/hyperlink" Target="https://www.linkedin.com/in/taufan-budi-2a99b070/" TargetMode="External"/><Relationship Id="rId573" Type="http://schemas.openxmlformats.org/officeDocument/2006/relationships/hyperlink" Target="https://www.linkedin.com/in/xiang-ee-lum-950067ab/" TargetMode="External"/><Relationship Id="rId780" Type="http://schemas.openxmlformats.org/officeDocument/2006/relationships/hyperlink" Target="https://www.linkedin.com/in/sanjidatanny/" TargetMode="External"/><Relationship Id="rId226" Type="http://schemas.openxmlformats.org/officeDocument/2006/relationships/hyperlink" Target="https://www.linkedin.com/in/dimyferdiana/" TargetMode="External"/><Relationship Id="rId433" Type="http://schemas.openxmlformats.org/officeDocument/2006/relationships/hyperlink" Target="https://www.linkedin.com/in/elysiatiun" TargetMode="External"/><Relationship Id="rId878" Type="http://schemas.openxmlformats.org/officeDocument/2006/relationships/hyperlink" Target="https://www.linkedin.com/in/erichson-sihotang" TargetMode="External"/><Relationship Id="rId1063" Type="http://schemas.openxmlformats.org/officeDocument/2006/relationships/hyperlink" Target="https://www.google.com/url?q=https://www.linkedin.com/in/amit-gupta-40a2206&amp;sa=D&amp;ust=1585802058041000&amp;usg=AFQjCNFEE4iMelj7fzGz1jCeXuFsmNcIVg" TargetMode="External"/><Relationship Id="rId640" Type="http://schemas.openxmlformats.org/officeDocument/2006/relationships/hyperlink" Target="https://www.linkedin.com/in/charles-zhang-design/" TargetMode="External"/><Relationship Id="rId738" Type="http://schemas.openxmlformats.org/officeDocument/2006/relationships/hyperlink" Target="https://www.linkedin.com/in/daniel-palit-535b95b2/" TargetMode="External"/><Relationship Id="rId945" Type="http://schemas.openxmlformats.org/officeDocument/2006/relationships/hyperlink" Target="https://www.linkedin.com/in/pranavarora63/" TargetMode="External"/><Relationship Id="rId74" Type="http://schemas.openxmlformats.org/officeDocument/2006/relationships/hyperlink" Target="https://www.linkedin.com/in/atiqaherlina/" TargetMode="External"/><Relationship Id="rId377" Type="http://schemas.openxmlformats.org/officeDocument/2006/relationships/hyperlink" Target="http://www.linkedin.com/in/michael-hendriks/" TargetMode="External"/><Relationship Id="rId500" Type="http://schemas.openxmlformats.org/officeDocument/2006/relationships/hyperlink" Target="https://www.linkedin.com/in/gadiza-madhyaratri-cintamanist-507435a4" TargetMode="External"/><Relationship Id="rId584" Type="http://schemas.openxmlformats.org/officeDocument/2006/relationships/hyperlink" Target="https://www.linkedin.com/in/shintania-shintania-64552060/" TargetMode="External"/><Relationship Id="rId805" Type="http://schemas.openxmlformats.org/officeDocument/2006/relationships/hyperlink" Target="http://imural.id/" TargetMode="External"/><Relationship Id="rId1130" Type="http://schemas.openxmlformats.org/officeDocument/2006/relationships/hyperlink" Target="https://www.google.com/url?q=https://www.linkedin.com/in/ylfeng/&amp;sa=D&amp;ust=1585802058112000&amp;usg=AFQjCNHta5dfh_bO1l_DLf3Ps7BB066GgQ" TargetMode="External"/><Relationship Id="rId5" Type="http://schemas.openxmlformats.org/officeDocument/2006/relationships/hyperlink" Target="http://linkedin.com/in/prasanna-pawar" TargetMode="External"/><Relationship Id="rId237" Type="http://schemas.openxmlformats.org/officeDocument/2006/relationships/hyperlink" Target="https://www.linkedin.com/in/victor-j-chow-59656a1b/" TargetMode="External"/><Relationship Id="rId791" Type="http://schemas.openxmlformats.org/officeDocument/2006/relationships/hyperlink" Target="https://www.linkedin.com/in/yusuf-hadi-902a8b12a/" TargetMode="External"/><Relationship Id="rId889" Type="http://schemas.openxmlformats.org/officeDocument/2006/relationships/hyperlink" Target="https://www.linkedin.com/in/fadilah-sidek-20783793/" TargetMode="External"/><Relationship Id="rId1074" Type="http://schemas.openxmlformats.org/officeDocument/2006/relationships/hyperlink" Target="https://www.google.com/url?q=https://www.linkedin.com/in/mudrii/&amp;sa=D&amp;ust=1585802058051000&amp;usg=AFQjCNEdM-HQK2u6PLjsZS00slzamqx84g" TargetMode="External"/><Relationship Id="rId444" Type="http://schemas.openxmlformats.org/officeDocument/2006/relationships/hyperlink" Target="https://www.linkedin.com/in/dianpurna/" TargetMode="External"/><Relationship Id="rId651" Type="http://schemas.openxmlformats.org/officeDocument/2006/relationships/hyperlink" Target="https://www.linkedin.com/in/kumarason-renganathan-069a7010b" TargetMode="External"/><Relationship Id="rId749" Type="http://schemas.openxmlformats.org/officeDocument/2006/relationships/hyperlink" Target="https://www.linkedin.com/in/han-lun" TargetMode="External"/><Relationship Id="rId290" Type="http://schemas.openxmlformats.org/officeDocument/2006/relationships/hyperlink" Target="https://www.linkedin.com/in/iamkasyfi/" TargetMode="External"/><Relationship Id="rId304" Type="http://schemas.openxmlformats.org/officeDocument/2006/relationships/hyperlink" Target="https://www.linkedin.com/in/trifitri-muhammaditta-91342812b/" TargetMode="External"/><Relationship Id="rId388" Type="http://schemas.openxmlformats.org/officeDocument/2006/relationships/hyperlink" Target="https://www.linkedin.com/in/huiwen-ong-7b2258181/" TargetMode="External"/><Relationship Id="rId511" Type="http://schemas.openxmlformats.org/officeDocument/2006/relationships/hyperlink" Target="https://www.linkedin.com/in/vijayaelakya-aroulanandam-47531254/" TargetMode="External"/><Relationship Id="rId609" Type="http://schemas.openxmlformats.org/officeDocument/2006/relationships/hyperlink" Target="https://www.linkedin.com/in/leo-felix-95b4552a/" TargetMode="External"/><Relationship Id="rId956" Type="http://schemas.openxmlformats.org/officeDocument/2006/relationships/hyperlink" Target="http://www.linkedin.com/in/dansabido" TargetMode="External"/><Relationship Id="rId1141" Type="http://schemas.openxmlformats.org/officeDocument/2006/relationships/hyperlink" Target="https://www.linkedin.com/mwlite/in/eindra-k-5730a3186" TargetMode="External"/><Relationship Id="rId85" Type="http://schemas.openxmlformats.org/officeDocument/2006/relationships/hyperlink" Target="https://www.linkedin.com/in/andriy-hadinata/" TargetMode="External"/><Relationship Id="rId150" Type="http://schemas.openxmlformats.org/officeDocument/2006/relationships/hyperlink" Target="https://www.linkedin.com/in/bhaskoro-muthohar/" TargetMode="External"/><Relationship Id="rId595" Type="http://schemas.openxmlformats.org/officeDocument/2006/relationships/hyperlink" Target="https://www.linkedin.com/in/arkan-perdana-8705a915b" TargetMode="External"/><Relationship Id="rId816" Type="http://schemas.openxmlformats.org/officeDocument/2006/relationships/hyperlink" Target="https://www.linkedin.com/in/sayanibh/" TargetMode="External"/><Relationship Id="rId1001" Type="http://schemas.openxmlformats.org/officeDocument/2006/relationships/hyperlink" Target="https://www.linkedin.com/in/ananyapd/" TargetMode="External"/><Relationship Id="rId248" Type="http://schemas.openxmlformats.org/officeDocument/2006/relationships/hyperlink" Target="https://www.linkedin.com/in/mutia-nurul-rahmah-114b2199/" TargetMode="External"/><Relationship Id="rId455" Type="http://schemas.openxmlformats.org/officeDocument/2006/relationships/hyperlink" Target="https://www.linkedin.com/in/alif-akbarsyah-5b8a77155/" TargetMode="External"/><Relationship Id="rId662" Type="http://schemas.openxmlformats.org/officeDocument/2006/relationships/hyperlink" Target="https://www.linkedin.com/in/joseph-loh-861ab8a7/" TargetMode="External"/><Relationship Id="rId1085" Type="http://schemas.openxmlformats.org/officeDocument/2006/relationships/hyperlink" Target="https://www.google.com/url?q=https://www.linkedin.com/in/alfrina/&amp;sa=D&amp;ust=1585802058063000&amp;usg=AFQjCNE2mqWTyN272LOG37BVCcEbrgTuaQ" TargetMode="External"/><Relationship Id="rId12" Type="http://schemas.openxmlformats.org/officeDocument/2006/relationships/hyperlink" Target="https://www.linkedin.com/in/guptamadhav/" TargetMode="External"/><Relationship Id="rId108" Type="http://schemas.openxmlformats.org/officeDocument/2006/relationships/hyperlink" Target="https://www.linkedin.com/in/tarungupta15/" TargetMode="External"/><Relationship Id="rId315" Type="http://schemas.openxmlformats.org/officeDocument/2006/relationships/hyperlink" Target="https://www.linkedin.com/in/ivander-emlingga/" TargetMode="External"/><Relationship Id="rId522" Type="http://schemas.openxmlformats.org/officeDocument/2006/relationships/hyperlink" Target="https://www.linkedin.com/in/ramya-ganesan-b6621158/" TargetMode="External"/><Relationship Id="rId967" Type="http://schemas.openxmlformats.org/officeDocument/2006/relationships/hyperlink" Target="https://www.linkedin.com/in/steven-steven-0a8861100/" TargetMode="External"/><Relationship Id="rId1152" Type="http://schemas.openxmlformats.org/officeDocument/2006/relationships/hyperlink" Target="https://www.linkedin.com/in/syifa-hersista/" TargetMode="External"/><Relationship Id="rId96" Type="http://schemas.openxmlformats.org/officeDocument/2006/relationships/hyperlink" Target="https://www.linkedin.com/in/janeal-choo/" TargetMode="External"/><Relationship Id="rId161" Type="http://schemas.openxmlformats.org/officeDocument/2006/relationships/hyperlink" Target="https://www.linkedin.com/in/goncalocarvalho/?originalSubdomain=pt" TargetMode="External"/><Relationship Id="rId399" Type="http://schemas.openxmlformats.org/officeDocument/2006/relationships/hyperlink" Target="http://www.linkedin.com/adamaasamirga2019" TargetMode="External"/><Relationship Id="rId827" Type="http://schemas.openxmlformats.org/officeDocument/2006/relationships/hyperlink" Target="https://www.linkedin.com/in/andrea-albieri/" TargetMode="External"/><Relationship Id="rId1012" Type="http://schemas.openxmlformats.org/officeDocument/2006/relationships/hyperlink" Target="https://www.linkedin.com/in/sumeetaanand/" TargetMode="External"/><Relationship Id="rId259" Type="http://schemas.openxmlformats.org/officeDocument/2006/relationships/hyperlink" Target="https://www.linkedin.com/in/ignasius-alvin-yo/" TargetMode="External"/><Relationship Id="rId466" Type="http://schemas.openxmlformats.org/officeDocument/2006/relationships/hyperlink" Target="http://www.linkedin.com/in/avinashkausik-akaushik" TargetMode="External"/><Relationship Id="rId673" Type="http://schemas.openxmlformats.org/officeDocument/2006/relationships/hyperlink" Target="https://www.linkedin.com/in/khalilahunafa/" TargetMode="External"/><Relationship Id="rId880" Type="http://schemas.openxmlformats.org/officeDocument/2006/relationships/hyperlink" Target="https://www.linkedin.com/in/sriyatmo/" TargetMode="External"/><Relationship Id="rId1096" Type="http://schemas.openxmlformats.org/officeDocument/2006/relationships/hyperlink" Target="https://www.google.com/url?q=http://linkedin.com/in/geetamanisha&amp;sa=D&amp;ust=1585802058074000&amp;usg=AFQjCNFuSx5agNC60x-QRSzd2BJv4dQTtA" TargetMode="External"/><Relationship Id="rId23" Type="http://schemas.openxmlformats.org/officeDocument/2006/relationships/hyperlink" Target="http://www.linkedin.com/in/hanphay" TargetMode="External"/><Relationship Id="rId119" Type="http://schemas.openxmlformats.org/officeDocument/2006/relationships/hyperlink" Target="https://www.linkedin.com/in/tommasogioacchini/" TargetMode="External"/><Relationship Id="rId326" Type="http://schemas.openxmlformats.org/officeDocument/2006/relationships/hyperlink" Target="https://www.linkedin.com/in/fajarmaulanaipb/" TargetMode="External"/><Relationship Id="rId533" Type="http://schemas.openxmlformats.org/officeDocument/2006/relationships/hyperlink" Target="https://www.linkedin.com/in/ero-w-81872319/" TargetMode="External"/><Relationship Id="rId978" Type="http://schemas.openxmlformats.org/officeDocument/2006/relationships/hyperlink" Target="https://www.linkedin.com/in/nikhilkejriwal/" TargetMode="External"/><Relationship Id="rId1163" Type="http://schemas.openxmlformats.org/officeDocument/2006/relationships/hyperlink" Target="https://www.linkedin.com/in/firiera/" TargetMode="External"/><Relationship Id="rId740" Type="http://schemas.openxmlformats.org/officeDocument/2006/relationships/hyperlink" Target="https://www.linkedin.com/in/johnwin-custodio-918a5550?lipi=urn%3Ali%3Apage%3Ad_flagship3_profile_view_base_contact_details%3BFBOb9KdnRcOcvrtP859EZQ%3D%3D" TargetMode="External"/><Relationship Id="rId838" Type="http://schemas.openxmlformats.org/officeDocument/2006/relationships/hyperlink" Target="https://sg.linkedin.com/in/greatsocialevil" TargetMode="External"/><Relationship Id="rId1023" Type="http://schemas.openxmlformats.org/officeDocument/2006/relationships/hyperlink" Target="https://www.linkedin.com/in/iamucil" TargetMode="External"/><Relationship Id="rId172" Type="http://schemas.openxmlformats.org/officeDocument/2006/relationships/hyperlink" Target="https://www.linkedin.com/in/cakaziz" TargetMode="External"/><Relationship Id="rId477" Type="http://schemas.openxmlformats.org/officeDocument/2006/relationships/hyperlink" Target="https://www.linkedin.com/in/anugrahyudha96" TargetMode="External"/><Relationship Id="rId600" Type="http://schemas.openxmlformats.org/officeDocument/2006/relationships/hyperlink" Target="https://www.linkedin.com/in/johana-angeline-770839114/" TargetMode="External"/><Relationship Id="rId684" Type="http://schemas.openxmlformats.org/officeDocument/2006/relationships/hyperlink" Target="https://www.linkedin.com/in/muhammad-farhan-180998164" TargetMode="External"/><Relationship Id="rId337" Type="http://schemas.openxmlformats.org/officeDocument/2006/relationships/hyperlink" Target="https://www.linkedin.com/in/marthade/" TargetMode="External"/><Relationship Id="rId891" Type="http://schemas.openxmlformats.org/officeDocument/2006/relationships/hyperlink" Target="https://www.linkedin.com/in/iandorrity/" TargetMode="External"/><Relationship Id="rId905" Type="http://schemas.openxmlformats.org/officeDocument/2006/relationships/hyperlink" Target="https://www.linkedin.com/in/mujaheedkapadia/" TargetMode="External"/><Relationship Id="rId989" Type="http://schemas.openxmlformats.org/officeDocument/2006/relationships/hyperlink" Target="https://www.linkedin.com/in/adrianlievano/" TargetMode="External"/><Relationship Id="rId34" Type="http://schemas.openxmlformats.org/officeDocument/2006/relationships/hyperlink" Target="https://www.linkedin.com/in/carrieliauw" TargetMode="External"/><Relationship Id="rId544" Type="http://schemas.openxmlformats.org/officeDocument/2006/relationships/hyperlink" Target="https://www.linkedin.com/in/ngchongyang" TargetMode="External"/><Relationship Id="rId751" Type="http://schemas.openxmlformats.org/officeDocument/2006/relationships/hyperlink" Target="https://www.linkedin.com/in/mikkyibrahim/" TargetMode="External"/><Relationship Id="rId849" Type="http://schemas.openxmlformats.org/officeDocument/2006/relationships/hyperlink" Target="https://www.linkedin.com/in/tommyjsonn" TargetMode="External"/><Relationship Id="rId1174" Type="http://schemas.openxmlformats.org/officeDocument/2006/relationships/hyperlink" Target="https://www.linkedin.com/in/renee-ngo/" TargetMode="External"/><Relationship Id="rId183" Type="http://schemas.openxmlformats.org/officeDocument/2006/relationships/hyperlink" Target="https://www.linkedin.com/in/demmy-anto-putra/" TargetMode="External"/><Relationship Id="rId390" Type="http://schemas.openxmlformats.org/officeDocument/2006/relationships/hyperlink" Target="https://www.linkedin.com/in/ayataarrasyid/" TargetMode="External"/><Relationship Id="rId404" Type="http://schemas.openxmlformats.org/officeDocument/2006/relationships/hyperlink" Target="https://www.linkedin.com/in/ayus-fatria-329bb713a/" TargetMode="External"/><Relationship Id="rId611" Type="http://schemas.openxmlformats.org/officeDocument/2006/relationships/hyperlink" Target="https://www.linkedin.com/in/agus-wahyu-annasir-883a5695/" TargetMode="External"/><Relationship Id="rId1034" Type="http://schemas.openxmlformats.org/officeDocument/2006/relationships/hyperlink" Target="https://www.linkedin.com/in/rifqi-alfadhillah-sentosa-320ba4120/" TargetMode="External"/><Relationship Id="rId250" Type="http://schemas.openxmlformats.org/officeDocument/2006/relationships/hyperlink" Target="https://www.linkedin.com/in/jhon-carl-amor-b90166179/" TargetMode="External"/><Relationship Id="rId488" Type="http://schemas.openxmlformats.org/officeDocument/2006/relationships/hyperlink" Target="https://www.linkedin.com/in/alwiahdi/" TargetMode="External"/><Relationship Id="rId695" Type="http://schemas.openxmlformats.org/officeDocument/2006/relationships/hyperlink" Target="https://www.linkedin.com/in/sophiamoshasha" TargetMode="External"/><Relationship Id="rId709" Type="http://schemas.openxmlformats.org/officeDocument/2006/relationships/hyperlink" Target="https://www.linkedin.com/in/yuk-wai-kong-637a55183/" TargetMode="External"/><Relationship Id="rId916" Type="http://schemas.openxmlformats.org/officeDocument/2006/relationships/hyperlink" Target="https://www.linkedin.com/in/charisse-trinidad-cruz-85bb74135/" TargetMode="External"/><Relationship Id="rId1101" Type="http://schemas.openxmlformats.org/officeDocument/2006/relationships/hyperlink" Target="https://www.google.com/url?q=https://www.linkedin.com/in/adhamsomantrie/&amp;sa=D&amp;ust=1585802058078000&amp;usg=AFQjCNHCJXKIljCqn-QCRDWezzi7ixEHVQ" TargetMode="External"/><Relationship Id="rId45" Type="http://schemas.openxmlformats.org/officeDocument/2006/relationships/hyperlink" Target="http://www.kuriensk.com/" TargetMode="External"/><Relationship Id="rId110" Type="http://schemas.openxmlformats.org/officeDocument/2006/relationships/hyperlink" Target="https://www.linkedin.com/in/sean-william-028373152/" TargetMode="External"/><Relationship Id="rId348" Type="http://schemas.openxmlformats.org/officeDocument/2006/relationships/hyperlink" Target="https://www.linkedin.com/in/oliviasoebijantoro/" TargetMode="External"/><Relationship Id="rId555" Type="http://schemas.openxmlformats.org/officeDocument/2006/relationships/hyperlink" Target="https://www.linkedin.com/in/jessicaeda/" TargetMode="External"/><Relationship Id="rId762" Type="http://schemas.openxmlformats.org/officeDocument/2006/relationships/hyperlink" Target="https://www.linkedin.com/in/kritika-rajwani/" TargetMode="External"/><Relationship Id="rId1185" Type="http://schemas.openxmlformats.org/officeDocument/2006/relationships/hyperlink" Target="https://www.linkedin.com/in/mrizqiandrian/" TargetMode="External"/><Relationship Id="rId194" Type="http://schemas.openxmlformats.org/officeDocument/2006/relationships/hyperlink" Target="https://www.linkedin.com/in/davidriswanto/" TargetMode="External"/><Relationship Id="rId208" Type="http://schemas.openxmlformats.org/officeDocument/2006/relationships/hyperlink" Target="http://www.linkedin.com/in/malarpaul" TargetMode="External"/><Relationship Id="rId415" Type="http://schemas.openxmlformats.org/officeDocument/2006/relationships/hyperlink" Target="https://www.linkedin.com/in/chee-beng-ou-68279111b/" TargetMode="External"/><Relationship Id="rId622" Type="http://schemas.openxmlformats.org/officeDocument/2006/relationships/hyperlink" Target="https://www.linkedin.com/in/rana-pratama-6254a5123/" TargetMode="External"/><Relationship Id="rId1045" Type="http://schemas.openxmlformats.org/officeDocument/2006/relationships/hyperlink" Target="https://www.linkedin.com/in/mahesa-sunt-servanda/" TargetMode="External"/><Relationship Id="rId261" Type="http://schemas.openxmlformats.org/officeDocument/2006/relationships/hyperlink" Target="http://www.linkedin.com/in/lucas-tan-4b23b8120" TargetMode="External"/><Relationship Id="rId499" Type="http://schemas.openxmlformats.org/officeDocument/2006/relationships/hyperlink" Target="https://www.linkedin.com/in/kelvin-stanley-889983b3/" TargetMode="External"/><Relationship Id="rId927" Type="http://schemas.openxmlformats.org/officeDocument/2006/relationships/hyperlink" Target="https://www.linkedin.com/in/leslie-chua-b9300048/" TargetMode="External"/><Relationship Id="rId1112" Type="http://schemas.openxmlformats.org/officeDocument/2006/relationships/hyperlink" Target="https://www.google.com/url?q=https://www.linkedin.com/in/irawan-danoe-44068425/&amp;sa=D&amp;ust=1585802058094000&amp;usg=AFQjCNE1sbL8gpgf4qZR-plZy4yVNsMBMw" TargetMode="External"/><Relationship Id="rId56" Type="http://schemas.openxmlformats.org/officeDocument/2006/relationships/hyperlink" Target="http://getzave.com/" TargetMode="External"/><Relationship Id="rId359" Type="http://schemas.openxmlformats.org/officeDocument/2006/relationships/hyperlink" Target="https://www.linkedin.com/in/sandhya-sharma-3940ab26/" TargetMode="External"/><Relationship Id="rId566" Type="http://schemas.openxmlformats.org/officeDocument/2006/relationships/hyperlink" Target="https://www.linkedin.com/in/salman-farouk-al-hakim-59183725/" TargetMode="External"/><Relationship Id="rId773" Type="http://schemas.openxmlformats.org/officeDocument/2006/relationships/hyperlink" Target="https://www.linkedin.com/in/winnie-lim-b7802752/" TargetMode="External"/><Relationship Id="rId1196" Type="http://schemas.openxmlformats.org/officeDocument/2006/relationships/hyperlink" Target="https://www.linkedin.com/in/rianeka/" TargetMode="External"/><Relationship Id="rId121" Type="http://schemas.openxmlformats.org/officeDocument/2006/relationships/hyperlink" Target="http://umroh.com/" TargetMode="External"/><Relationship Id="rId219" Type="http://schemas.openxmlformats.org/officeDocument/2006/relationships/hyperlink" Target="https://www.linkedin.com/in/vedantmour/" TargetMode="External"/><Relationship Id="rId426" Type="http://schemas.openxmlformats.org/officeDocument/2006/relationships/hyperlink" Target="https://www.linkedin.com/in/chai-yin-t-9bb46244/" TargetMode="External"/><Relationship Id="rId633" Type="http://schemas.openxmlformats.org/officeDocument/2006/relationships/hyperlink" Target="https://www.linkedin.com/in/mauriceplee/" TargetMode="External"/><Relationship Id="rId980" Type="http://schemas.openxmlformats.org/officeDocument/2006/relationships/hyperlink" Target="https://www.linkedin.com/in/boniandika/" TargetMode="External"/><Relationship Id="rId1056" Type="http://schemas.openxmlformats.org/officeDocument/2006/relationships/hyperlink" Target="https://www.google.com/url?q=http://www.linkedin.com/in/dmulani&amp;sa=D&amp;ust=1585802058033000&amp;usg=AFQjCNH31TyAS3AxVqKW-tZexhjNmEJAKA" TargetMode="External"/><Relationship Id="rId840" Type="http://schemas.openxmlformats.org/officeDocument/2006/relationships/hyperlink" Target="https://www.linkedin.com/in/alexandria-bang-b310919b/?senderId=wtnby" TargetMode="External"/><Relationship Id="rId938" Type="http://schemas.openxmlformats.org/officeDocument/2006/relationships/hyperlink" Target="https://www.linkedin.com/in/abi-sa-ad-dimyati-5b749860/" TargetMode="External"/><Relationship Id="rId67" Type="http://schemas.openxmlformats.org/officeDocument/2006/relationships/hyperlink" Target="https://www.linkedin.com/in/kennethlimkl/" TargetMode="External"/><Relationship Id="rId272" Type="http://schemas.openxmlformats.org/officeDocument/2006/relationships/hyperlink" Target="https://www.linkedin.com/in/namfon-panjanapongchai-426141a1/" TargetMode="External"/><Relationship Id="rId577" Type="http://schemas.openxmlformats.org/officeDocument/2006/relationships/hyperlink" Target="https://www.linkedin.com/in/ryanhartanto/" TargetMode="External"/><Relationship Id="rId700" Type="http://schemas.openxmlformats.org/officeDocument/2006/relationships/hyperlink" Target="https://www.linkedin.com/in/vivek-aggarwal-a08715a/" TargetMode="External"/><Relationship Id="rId1123" Type="http://schemas.openxmlformats.org/officeDocument/2006/relationships/hyperlink" Target="https://www.google.com/url?q=https://www.linkedin.com/in/mervyn-chua-7b335b30/&amp;sa=D&amp;ust=1585802058106000&amp;usg=AFQjCNE9UEk7LnqPpQ_V4eXUBmKNfhBozg" TargetMode="External"/><Relationship Id="rId132" Type="http://schemas.openxmlformats.org/officeDocument/2006/relationships/hyperlink" Target="https://id.linkedin.com/in/guntur-novfrico-98335040" TargetMode="External"/><Relationship Id="rId784" Type="http://schemas.openxmlformats.org/officeDocument/2006/relationships/hyperlink" Target="https://www.linkedin.com/in/iman-azmi-246638167/" TargetMode="External"/><Relationship Id="rId991" Type="http://schemas.openxmlformats.org/officeDocument/2006/relationships/hyperlink" Target="https://www.linkedin.com/in/adam-graphiandana-37413453/" TargetMode="External"/><Relationship Id="rId1067" Type="http://schemas.openxmlformats.org/officeDocument/2006/relationships/hyperlink" Target="https://www.google.com/url?q=https://www.linkedin.com/in/sanya-agarwal-b50232110/&amp;sa=D&amp;ust=1585802058044000&amp;usg=AFQjCNEK5eR0cBzNZO-FDqIVLyeg6cOqlw" TargetMode="External"/><Relationship Id="rId437" Type="http://schemas.openxmlformats.org/officeDocument/2006/relationships/hyperlink" Target="https://id.linkedin.com/in/lili-novianti-24b456bb" TargetMode="External"/><Relationship Id="rId644" Type="http://schemas.openxmlformats.org/officeDocument/2006/relationships/hyperlink" Target="http://www.linkedin.com/in/michelle-augustine-6b0b9b8b" TargetMode="External"/><Relationship Id="rId851" Type="http://schemas.openxmlformats.org/officeDocument/2006/relationships/hyperlink" Target="https://www.linkedin.com/in/hui-tian-17942715/" TargetMode="External"/><Relationship Id="rId283" Type="http://schemas.openxmlformats.org/officeDocument/2006/relationships/hyperlink" Target="https://www.linkedin.com/in/gayani-abeyasinghe/" TargetMode="External"/><Relationship Id="rId490" Type="http://schemas.openxmlformats.org/officeDocument/2006/relationships/hyperlink" Target="https://www.linkedin.com/in/elnanda-cyntia-08084114b/" TargetMode="External"/><Relationship Id="rId504" Type="http://schemas.openxmlformats.org/officeDocument/2006/relationships/hyperlink" Target="https://www.linkedin.com/in/shahnaznurrizki/" TargetMode="External"/><Relationship Id="rId711" Type="http://schemas.openxmlformats.org/officeDocument/2006/relationships/hyperlink" Target="https://www.linkedin.com/in/pohchengboon/" TargetMode="External"/><Relationship Id="rId949" Type="http://schemas.openxmlformats.org/officeDocument/2006/relationships/hyperlink" Target="https://www.linkedin.com/in/jasoberoi/" TargetMode="External"/><Relationship Id="rId1134" Type="http://schemas.openxmlformats.org/officeDocument/2006/relationships/hyperlink" Target="https://www.google.com/url?q=https://www.linkedin.com/in/kookie-tantacha-22422b46&amp;sa=D&amp;ust=1585802058114000&amp;usg=AFQjCNH3vm820NZ6kOhoX0XOw9TwTNIDoA" TargetMode="External"/><Relationship Id="rId78" Type="http://schemas.openxmlformats.org/officeDocument/2006/relationships/hyperlink" Target="https://www.linkedin.com/in/hussam-almakdad/" TargetMode="External"/><Relationship Id="rId143" Type="http://schemas.openxmlformats.org/officeDocument/2006/relationships/hyperlink" Target="https://www.linkedin.com/in/karansaharan/" TargetMode="External"/><Relationship Id="rId350" Type="http://schemas.openxmlformats.org/officeDocument/2006/relationships/hyperlink" Target="https://www.linkedin.com/in/nariswariyudianti/" TargetMode="External"/><Relationship Id="rId588" Type="http://schemas.openxmlformats.org/officeDocument/2006/relationships/hyperlink" Target="https://www.linkedin.com/in/aqb589/" TargetMode="External"/><Relationship Id="rId795" Type="http://schemas.openxmlformats.org/officeDocument/2006/relationships/hyperlink" Target="https://www.linkedin.com/in/sekarksa" TargetMode="External"/><Relationship Id="rId809" Type="http://schemas.openxmlformats.org/officeDocument/2006/relationships/hyperlink" Target="https://sg.linkedin.com/in/harshal-patil-774217" TargetMode="External"/><Relationship Id="rId1201" Type="http://schemas.openxmlformats.org/officeDocument/2006/relationships/hyperlink" Target="https://www.linkedin.com/in/arinioctavina/" TargetMode="External"/><Relationship Id="rId9" Type="http://schemas.openxmlformats.org/officeDocument/2006/relationships/hyperlink" Target="https://www.linkedin.com/in/kraffa/" TargetMode="External"/><Relationship Id="rId210" Type="http://schemas.openxmlformats.org/officeDocument/2006/relationships/hyperlink" Target="https://www.linkedin.com/in/nikitavirani/" TargetMode="External"/><Relationship Id="rId448" Type="http://schemas.openxmlformats.org/officeDocument/2006/relationships/hyperlink" Target="https://www.linkedin.com/in/ericagsanger/" TargetMode="External"/><Relationship Id="rId655" Type="http://schemas.openxmlformats.org/officeDocument/2006/relationships/hyperlink" Target="https://www.linkedin.com/in/anisa-kushandini-711b1093/" TargetMode="External"/><Relationship Id="rId862" Type="http://schemas.openxmlformats.org/officeDocument/2006/relationships/hyperlink" Target="http://www.linkedin.com/in/joshua-c-5268a743" TargetMode="External"/><Relationship Id="rId1078" Type="http://schemas.openxmlformats.org/officeDocument/2006/relationships/hyperlink" Target="https://www.google.com/url?q=https://www.linkedin.com/in/aiswariya-madhavan-4506b0b9/&amp;sa=D&amp;ust=1585802058055000&amp;usg=AFQjCNFklOEbX2Mm6ABY0ssUptF_Y1on8w" TargetMode="External"/><Relationship Id="rId294" Type="http://schemas.openxmlformats.org/officeDocument/2006/relationships/hyperlink" Target="https://www.linkedin.com/in/stefaniechenshuwen/" TargetMode="External"/><Relationship Id="rId308" Type="http://schemas.openxmlformats.org/officeDocument/2006/relationships/hyperlink" Target="http://www.linkedin.com/in/wyse-lau-skymaker/" TargetMode="External"/><Relationship Id="rId515" Type="http://schemas.openxmlformats.org/officeDocument/2006/relationships/hyperlink" Target="https://www.linkedin.com/in/endah-s-889416162/" TargetMode="External"/><Relationship Id="rId722" Type="http://schemas.openxmlformats.org/officeDocument/2006/relationships/hyperlink" Target="https://www.linkedin.com/in/sylvia-christianti-s-e-m-i-kom-71bb2037/" TargetMode="External"/><Relationship Id="rId1145" Type="http://schemas.openxmlformats.org/officeDocument/2006/relationships/hyperlink" Target="https://www.linkedin.com/in/jemima-kwok" TargetMode="External"/><Relationship Id="rId89" Type="http://schemas.openxmlformats.org/officeDocument/2006/relationships/hyperlink" Target="https://www.linkedin.com/in/marcus-tang/" TargetMode="External"/><Relationship Id="rId154" Type="http://schemas.openxmlformats.org/officeDocument/2006/relationships/hyperlink" Target="https://www.linkedin.com/in/riantisilvi/" TargetMode="External"/><Relationship Id="rId361" Type="http://schemas.openxmlformats.org/officeDocument/2006/relationships/hyperlink" Target="https://www.linkedin.com/in/sanjay-talukdar/" TargetMode="External"/><Relationship Id="rId599" Type="http://schemas.openxmlformats.org/officeDocument/2006/relationships/hyperlink" Target="https://id.linkedin.com/in/thamy-nurcahyani-5491a8b4" TargetMode="External"/><Relationship Id="rId1005" Type="http://schemas.openxmlformats.org/officeDocument/2006/relationships/hyperlink" Target="http://linkedin.com/raewynkoh" TargetMode="External"/><Relationship Id="rId459" Type="http://schemas.openxmlformats.org/officeDocument/2006/relationships/hyperlink" Target="http://linkedin.com/in/muhammad-alif-fauzan" TargetMode="External"/><Relationship Id="rId666" Type="http://schemas.openxmlformats.org/officeDocument/2006/relationships/hyperlink" Target="http://cermati.com/" TargetMode="External"/><Relationship Id="rId873" Type="http://schemas.openxmlformats.org/officeDocument/2006/relationships/hyperlink" Target="http://linkedin.com/in/thesany-margaretta-50881211a" TargetMode="External"/><Relationship Id="rId1089" Type="http://schemas.openxmlformats.org/officeDocument/2006/relationships/hyperlink" Target="https://www.google.com/url?q=https://www.linkedin.com/in/mykee-alvero-94b6889a/&amp;sa=D&amp;ust=1585802058068000&amp;usg=AFQjCNGMZaBS9qiW_mNLqoe0WzSB0fv0NA" TargetMode="External"/><Relationship Id="rId16" Type="http://schemas.openxmlformats.org/officeDocument/2006/relationships/hyperlink" Target="http://www.linkedin.com/in/charlottejudith" TargetMode="External"/><Relationship Id="rId221" Type="http://schemas.openxmlformats.org/officeDocument/2006/relationships/hyperlink" Target="https://www.linkedin.com/in/rendy-alfuadi-60300310b/" TargetMode="External"/><Relationship Id="rId319" Type="http://schemas.openxmlformats.org/officeDocument/2006/relationships/hyperlink" Target="http://helptheworld.io/" TargetMode="External"/><Relationship Id="rId526" Type="http://schemas.openxmlformats.org/officeDocument/2006/relationships/hyperlink" Target="https://www.linkedin.com/in/albertyunarto/" TargetMode="External"/><Relationship Id="rId1156" Type="http://schemas.openxmlformats.org/officeDocument/2006/relationships/hyperlink" Target="https://www.linkedin.com/in/tommyseptiandy/" TargetMode="External"/><Relationship Id="rId733" Type="http://schemas.openxmlformats.org/officeDocument/2006/relationships/hyperlink" Target="https://www.linkedin.com/in/putri-augustin-a354b4109/" TargetMode="External"/><Relationship Id="rId940" Type="http://schemas.openxmlformats.org/officeDocument/2006/relationships/hyperlink" Target="https://www.linkedin.com/in/kaiwolf" TargetMode="External"/><Relationship Id="rId1016" Type="http://schemas.openxmlformats.org/officeDocument/2006/relationships/hyperlink" Target="https://www.linkedin.com/in/rimafelyzia/" TargetMode="External"/><Relationship Id="rId165" Type="http://schemas.openxmlformats.org/officeDocument/2006/relationships/hyperlink" Target="https://www.linkedin.com/in/smirchandanichangaroth/" TargetMode="External"/><Relationship Id="rId372" Type="http://schemas.openxmlformats.org/officeDocument/2006/relationships/hyperlink" Target="http://www.linkedin.com/in/jadeyeo" TargetMode="External"/><Relationship Id="rId677" Type="http://schemas.openxmlformats.org/officeDocument/2006/relationships/hyperlink" Target="https://www.linkedin.com/in/nurul-rita-m-105557b1/" TargetMode="External"/><Relationship Id="rId800" Type="http://schemas.openxmlformats.org/officeDocument/2006/relationships/hyperlink" Target="https://www.linkedin.com/in/nasuhaalii/" TargetMode="External"/><Relationship Id="rId232" Type="http://schemas.openxmlformats.org/officeDocument/2006/relationships/hyperlink" Target="https://www.linkedin.com/in/drishti-tulsi-33542b114/" TargetMode="External"/><Relationship Id="rId884" Type="http://schemas.openxmlformats.org/officeDocument/2006/relationships/hyperlink" Target="http://linkedin.com/in/rohit-taksande-758107127" TargetMode="External"/><Relationship Id="rId27" Type="http://schemas.openxmlformats.org/officeDocument/2006/relationships/hyperlink" Target="https://www.linkedin.com/in/florence-lim/" TargetMode="External"/><Relationship Id="rId537" Type="http://schemas.openxmlformats.org/officeDocument/2006/relationships/hyperlink" Target="https://www.linkedin.com/in/nabilamira/" TargetMode="External"/><Relationship Id="rId744" Type="http://schemas.openxmlformats.org/officeDocument/2006/relationships/hyperlink" Target="https://www.linkedin.com/in/yudha-iqbal-maulana-777708138/" TargetMode="External"/><Relationship Id="rId951" Type="http://schemas.openxmlformats.org/officeDocument/2006/relationships/hyperlink" Target="https://www.linkedin.com/in/salsabilherdiati/" TargetMode="External"/><Relationship Id="rId1167" Type="http://schemas.openxmlformats.org/officeDocument/2006/relationships/hyperlink" Target="https://www.linkedin.com/in/nafisand/" TargetMode="External"/><Relationship Id="rId80" Type="http://schemas.openxmlformats.org/officeDocument/2006/relationships/hyperlink" Target="https://www.linkedin.com/in/bobbypeck" TargetMode="External"/><Relationship Id="rId176" Type="http://schemas.openxmlformats.org/officeDocument/2006/relationships/hyperlink" Target="https://www.linkedin.com/in/daria-kalista-4b73b259/" TargetMode="External"/><Relationship Id="rId383" Type="http://schemas.openxmlformats.org/officeDocument/2006/relationships/hyperlink" Target="https://www.linkedin.com/in/faleriapriskacasson/" TargetMode="External"/><Relationship Id="rId590" Type="http://schemas.openxmlformats.org/officeDocument/2006/relationships/hyperlink" Target="https://www.linkedin.com/in/stevekk/" TargetMode="External"/><Relationship Id="rId604" Type="http://schemas.openxmlformats.org/officeDocument/2006/relationships/hyperlink" Target="https://www.linkedin.com/in/spsrinivas30/" TargetMode="External"/><Relationship Id="rId811" Type="http://schemas.openxmlformats.org/officeDocument/2006/relationships/hyperlink" Target="https://www.linkedin.com/in/carlo-0002196/" TargetMode="External"/><Relationship Id="rId1027" Type="http://schemas.openxmlformats.org/officeDocument/2006/relationships/hyperlink" Target="https://www.linkedin.com/in/azkasaffanah/" TargetMode="External"/><Relationship Id="rId243" Type="http://schemas.openxmlformats.org/officeDocument/2006/relationships/hyperlink" Target="https://www.linkedin.com/in/frendy-chandra-8617b558/" TargetMode="External"/><Relationship Id="rId450" Type="http://schemas.openxmlformats.org/officeDocument/2006/relationships/hyperlink" Target="http://in.com/in/vika-tan-301914163/" TargetMode="External"/><Relationship Id="rId688" Type="http://schemas.openxmlformats.org/officeDocument/2006/relationships/hyperlink" Target="https://www.linkedin.com/in/darren-james-riley/" TargetMode="External"/><Relationship Id="rId895" Type="http://schemas.openxmlformats.org/officeDocument/2006/relationships/hyperlink" Target="https://www.linkedin.com/in/md-hassan-aarzoo-44613554/" TargetMode="External"/><Relationship Id="rId909" Type="http://schemas.openxmlformats.org/officeDocument/2006/relationships/hyperlink" Target="https://www.linkedin.com/in/derekchingmba/" TargetMode="External"/><Relationship Id="rId1080" Type="http://schemas.openxmlformats.org/officeDocument/2006/relationships/hyperlink" Target="https://www.google.com/url?q=https://www.linkedin.com/in/sharon-seakar-904013106/&amp;sa=D&amp;ust=1585802058058000&amp;usg=AFQjCNFwq4zV_OqLLLlcp0wXiDr8J83TFQ" TargetMode="External"/><Relationship Id="rId38" Type="http://schemas.openxmlformats.org/officeDocument/2006/relationships/hyperlink" Target="https://www.linkedin.com/in/vikrant-sakharwade-2110/" TargetMode="External"/><Relationship Id="rId103" Type="http://schemas.openxmlformats.org/officeDocument/2006/relationships/hyperlink" Target="https://www.linkedin.com/in/dityarachman/" TargetMode="External"/><Relationship Id="rId310" Type="http://schemas.openxmlformats.org/officeDocument/2006/relationships/hyperlink" Target="https://www.linkedin.com/in/dwi-susanto29/" TargetMode="External"/><Relationship Id="rId548" Type="http://schemas.openxmlformats.org/officeDocument/2006/relationships/hyperlink" Target="https://id.linkedin.com/azhari.fauzan" TargetMode="External"/><Relationship Id="rId755" Type="http://schemas.openxmlformats.org/officeDocument/2006/relationships/hyperlink" Target="https://www.linkedin.com/in/sitahapsari/" TargetMode="External"/><Relationship Id="rId962" Type="http://schemas.openxmlformats.org/officeDocument/2006/relationships/hyperlink" Target="https://www.linkedin.com/in/harshitaa98/" TargetMode="External"/><Relationship Id="rId1178" Type="http://schemas.openxmlformats.org/officeDocument/2006/relationships/hyperlink" Target="https://www.linkedin.com/in/vivitania-budidjaja-a94619b4/" TargetMode="External"/><Relationship Id="rId91" Type="http://schemas.openxmlformats.org/officeDocument/2006/relationships/hyperlink" Target="https://www.linkedin.com/in/kandu-jiwandono-927317a7/" TargetMode="External"/><Relationship Id="rId187" Type="http://schemas.openxmlformats.org/officeDocument/2006/relationships/hyperlink" Target="https://www.linkedin.com/in/sheilahapsari397/" TargetMode="External"/><Relationship Id="rId394" Type="http://schemas.openxmlformats.org/officeDocument/2006/relationships/hyperlink" Target="https://www.linkedin.com/in/prita-anggraini-93bb98a7/" TargetMode="External"/><Relationship Id="rId408" Type="http://schemas.openxmlformats.org/officeDocument/2006/relationships/hyperlink" Target="https://www.linkedin.com/in/jakaria-yusuf-abdul-rauf-88381b138" TargetMode="External"/><Relationship Id="rId615" Type="http://schemas.openxmlformats.org/officeDocument/2006/relationships/hyperlink" Target="https://www.linkedin.com/in/fransiskus-stepfano/" TargetMode="External"/><Relationship Id="rId822" Type="http://schemas.openxmlformats.org/officeDocument/2006/relationships/hyperlink" Target="https://www.linkedin.com/in/sari-setyorini-28b26041/" TargetMode="External"/><Relationship Id="rId1038" Type="http://schemas.openxmlformats.org/officeDocument/2006/relationships/hyperlink" Target="https://www.linkedin.com/in/rihanza/" TargetMode="External"/><Relationship Id="rId254" Type="http://schemas.openxmlformats.org/officeDocument/2006/relationships/hyperlink" Target="http://ralali.com/" TargetMode="External"/><Relationship Id="rId699" Type="http://schemas.openxmlformats.org/officeDocument/2006/relationships/hyperlink" Target="https://www.linkedin.com/mkyh" TargetMode="External"/><Relationship Id="rId1091" Type="http://schemas.openxmlformats.org/officeDocument/2006/relationships/hyperlink" Target="https://www.google.com/url?q=https://www.linkedin.com/in/rosellemayenriquez/&amp;sa=D&amp;ust=1585802058069000&amp;usg=AFQjCNE0Y8WKf3X6O0ZR3Nq6rbVR5pftUA" TargetMode="External"/><Relationship Id="rId1105" Type="http://schemas.openxmlformats.org/officeDocument/2006/relationships/hyperlink" Target="https://www.google.com/url?q=https://www.linkedin.com/in/katherine-mae-romanillos-24165861/&amp;sa=D&amp;ust=1585802058083000&amp;usg=AFQjCNFYwLkS_gfBHB17msEvgqbUpEfLwA" TargetMode="External"/><Relationship Id="rId49" Type="http://schemas.openxmlformats.org/officeDocument/2006/relationships/hyperlink" Target="https://www.linkedin.com/in/gautamjainn/" TargetMode="External"/><Relationship Id="rId114" Type="http://schemas.openxmlformats.org/officeDocument/2006/relationships/hyperlink" Target="https://linkedin.com/in/garryhuang" TargetMode="External"/><Relationship Id="rId461" Type="http://schemas.openxmlformats.org/officeDocument/2006/relationships/hyperlink" Target="https://www.linkedin.com/in/agus-supriadi-a04687a9" TargetMode="External"/><Relationship Id="rId559" Type="http://schemas.openxmlformats.org/officeDocument/2006/relationships/hyperlink" Target="http://linkedin.com/in/kevin-kanters" TargetMode="External"/><Relationship Id="rId766" Type="http://schemas.openxmlformats.org/officeDocument/2006/relationships/hyperlink" Target="https://www.linkedin.com/in/theadini-8a08b3106/" TargetMode="External"/><Relationship Id="rId1189" Type="http://schemas.openxmlformats.org/officeDocument/2006/relationships/hyperlink" Target="https://www.linkedin.com/in/arini-annisa-2a758b97/" TargetMode="External"/><Relationship Id="rId198" Type="http://schemas.openxmlformats.org/officeDocument/2006/relationships/hyperlink" Target="https://www.linkedin.com/in/stefanusbagus/" TargetMode="External"/><Relationship Id="rId321" Type="http://schemas.openxmlformats.org/officeDocument/2006/relationships/hyperlink" Target="http://linkedin.com/in/claudia-lim-sm" TargetMode="External"/><Relationship Id="rId419" Type="http://schemas.openxmlformats.org/officeDocument/2006/relationships/hyperlink" Target="https://www.linkedin.com/in/jadeyeo/" TargetMode="External"/><Relationship Id="rId626" Type="http://schemas.openxmlformats.org/officeDocument/2006/relationships/hyperlink" Target="https://www.linkedin.com/in/christ-allen-sinaga-207724113/" TargetMode="External"/><Relationship Id="rId973" Type="http://schemas.openxmlformats.org/officeDocument/2006/relationships/hyperlink" Target="https://www.linkedin.com/in/audreyreamon/" TargetMode="External"/><Relationship Id="rId1049" Type="http://schemas.openxmlformats.org/officeDocument/2006/relationships/hyperlink" Target="https://www.linkedin.com/in/acaniggia" TargetMode="External"/><Relationship Id="rId833" Type="http://schemas.openxmlformats.org/officeDocument/2006/relationships/hyperlink" Target="http://matahari.com/" TargetMode="External"/><Relationship Id="rId1116" Type="http://schemas.openxmlformats.org/officeDocument/2006/relationships/hyperlink" Target="https://www.google.com/url?q=https://www.linkedin.com/in/denyverianto&amp;sa=D&amp;ust=1585802058098000&amp;usg=AFQjCNE4CilXDgcYmpY6pYDOKN_jpaDr8A" TargetMode="External"/><Relationship Id="rId265" Type="http://schemas.openxmlformats.org/officeDocument/2006/relationships/hyperlink" Target="https://www.linkedin.com/in/reza-septianm/" TargetMode="External"/><Relationship Id="rId472" Type="http://schemas.openxmlformats.org/officeDocument/2006/relationships/hyperlink" Target="https://www.linkedin.com/in/widi-hapsoro46" TargetMode="External"/><Relationship Id="rId900" Type="http://schemas.openxmlformats.org/officeDocument/2006/relationships/hyperlink" Target="http://timesofindia.com/" TargetMode="External"/><Relationship Id="rId125" Type="http://schemas.openxmlformats.org/officeDocument/2006/relationships/hyperlink" Target="http://linkedin.com/tarshdevan" TargetMode="External"/><Relationship Id="rId332" Type="http://schemas.openxmlformats.org/officeDocument/2006/relationships/hyperlink" Target="https://www.linkedin.com/in/esther-chan-73aa1b107/" TargetMode="External"/><Relationship Id="rId777" Type="http://schemas.openxmlformats.org/officeDocument/2006/relationships/hyperlink" Target="https://www.linkedin.com/in/fuad-suffian-abdul-majid-0a655a133/" TargetMode="External"/><Relationship Id="rId984" Type="http://schemas.openxmlformats.org/officeDocument/2006/relationships/hyperlink" Target="http://www.linkedin.com/in/bharathsg202" TargetMode="External"/><Relationship Id="rId637" Type="http://schemas.openxmlformats.org/officeDocument/2006/relationships/hyperlink" Target="https://www.linkedin.com/in/toh-alvin-540311171" TargetMode="External"/><Relationship Id="rId844" Type="http://schemas.openxmlformats.org/officeDocument/2006/relationships/hyperlink" Target="https://www.linkedin.com/in/kien-nguan-tee-5443a44/" TargetMode="External"/><Relationship Id="rId276" Type="http://schemas.openxmlformats.org/officeDocument/2006/relationships/hyperlink" Target="https://www.linkedin.com/in/faith-ira-hariraj-103762129/" TargetMode="External"/><Relationship Id="rId483" Type="http://schemas.openxmlformats.org/officeDocument/2006/relationships/hyperlink" Target="http://www.linkedin.com/in/jojoangeles" TargetMode="External"/><Relationship Id="rId690" Type="http://schemas.openxmlformats.org/officeDocument/2006/relationships/hyperlink" Target="https://id.linkedin.com/in/muyas021" TargetMode="External"/><Relationship Id="rId704" Type="http://schemas.openxmlformats.org/officeDocument/2006/relationships/hyperlink" Target="https://www.linkedin.com/in/coatesjohn/" TargetMode="External"/><Relationship Id="rId911" Type="http://schemas.openxmlformats.org/officeDocument/2006/relationships/hyperlink" Target="https://www.linkedin.com/in/darianne-antoni-liza-68286341/" TargetMode="External"/><Relationship Id="rId1127" Type="http://schemas.openxmlformats.org/officeDocument/2006/relationships/hyperlink" Target="https://www.google.com/url?q=https://www.linkedin.com/in/indrasantosa/&amp;sa=D&amp;ust=1585802058109000&amp;usg=AFQjCNHVOWPM3ULiT8G2t6WI2XpjT3b_mw" TargetMode="External"/><Relationship Id="rId40" Type="http://schemas.openxmlformats.org/officeDocument/2006/relationships/hyperlink" Target="https://www.linkedin.com/in/sandeephanchanale" TargetMode="External"/><Relationship Id="rId136" Type="http://schemas.openxmlformats.org/officeDocument/2006/relationships/hyperlink" Target="https://www.linkedin.com/in/indri-maria-82ab4190/" TargetMode="External"/><Relationship Id="rId343" Type="http://schemas.openxmlformats.org/officeDocument/2006/relationships/hyperlink" Target="https://www.linkedin.com/mwlite/in/charlesaless" TargetMode="External"/><Relationship Id="rId550" Type="http://schemas.openxmlformats.org/officeDocument/2006/relationships/hyperlink" Target="https://www.linkedin.com/in/muliany-tan-52463a58/" TargetMode="External"/><Relationship Id="rId788" Type="http://schemas.openxmlformats.org/officeDocument/2006/relationships/hyperlink" Target="https://www.linkedin.com/in/deepanmanohar/" TargetMode="External"/><Relationship Id="rId995" Type="http://schemas.openxmlformats.org/officeDocument/2006/relationships/hyperlink" Target="https://www.linkedin.com/in/handitoaji/" TargetMode="External"/><Relationship Id="rId1180" Type="http://schemas.openxmlformats.org/officeDocument/2006/relationships/hyperlink" Target="https://www.linkedin.com/in/revinacunardi/" TargetMode="External"/><Relationship Id="rId203" Type="http://schemas.openxmlformats.org/officeDocument/2006/relationships/hyperlink" Target="http://linkedin.com/in/nikkiantonio" TargetMode="External"/><Relationship Id="rId648" Type="http://schemas.openxmlformats.org/officeDocument/2006/relationships/hyperlink" Target="https://www.linkedin.com/in/kumarason-renganathan-069a7010b" TargetMode="External"/><Relationship Id="rId855" Type="http://schemas.openxmlformats.org/officeDocument/2006/relationships/hyperlink" Target="http://www.linkedin.com/in/mathia-editha-1b475967" TargetMode="External"/><Relationship Id="rId1040" Type="http://schemas.openxmlformats.org/officeDocument/2006/relationships/hyperlink" Target="https://www.linkedin.com/in/ariowirawan" TargetMode="External"/><Relationship Id="rId287" Type="http://schemas.openxmlformats.org/officeDocument/2006/relationships/hyperlink" Target="https://www.linkedin.com/in/stephentan/" TargetMode="External"/><Relationship Id="rId410" Type="http://schemas.openxmlformats.org/officeDocument/2006/relationships/hyperlink" Target="http://99.co/" TargetMode="External"/><Relationship Id="rId494" Type="http://schemas.openxmlformats.org/officeDocument/2006/relationships/hyperlink" Target="https://th.linkedin.com/in/promsub-junmookdar-a730209a" TargetMode="External"/><Relationship Id="rId508" Type="http://schemas.openxmlformats.org/officeDocument/2006/relationships/hyperlink" Target="https://www.linkedin.com/in/syahirah-azali/" TargetMode="External"/><Relationship Id="rId715" Type="http://schemas.openxmlformats.org/officeDocument/2006/relationships/hyperlink" Target="https://www.linkedin.com/in/abdul-muhaimin-46741037/" TargetMode="External"/><Relationship Id="rId922" Type="http://schemas.openxmlformats.org/officeDocument/2006/relationships/hyperlink" Target="http://www.linkedin.com/in/shamoyitamukherjee" TargetMode="External"/><Relationship Id="rId1138" Type="http://schemas.openxmlformats.org/officeDocument/2006/relationships/hyperlink" Target="https://www.linkedin.com/in/andrelow" TargetMode="External"/><Relationship Id="rId147" Type="http://schemas.openxmlformats.org/officeDocument/2006/relationships/hyperlink" Target="http://www.linkedin.com/in/gaston-chiew" TargetMode="External"/><Relationship Id="rId354" Type="http://schemas.openxmlformats.org/officeDocument/2006/relationships/hyperlink" Target="https://www.linkedin.com/in/aisharachmani/" TargetMode="External"/><Relationship Id="rId799" Type="http://schemas.openxmlformats.org/officeDocument/2006/relationships/hyperlink" Target="https://www.linkedin.com/in/limhelen/" TargetMode="External"/><Relationship Id="rId1191" Type="http://schemas.openxmlformats.org/officeDocument/2006/relationships/hyperlink" Target="https://www.linkedin.com/in/jimmi-ricardo-324a4185/" TargetMode="External"/><Relationship Id="rId1205" Type="http://schemas.openxmlformats.org/officeDocument/2006/relationships/hyperlink" Target="https://www.linkedin.com/in/muhammad-rifai-32a768151/" TargetMode="External"/><Relationship Id="rId51" Type="http://schemas.openxmlformats.org/officeDocument/2006/relationships/hyperlink" Target="https://www.linkedin.com/in/joelcheng/" TargetMode="External"/><Relationship Id="rId561" Type="http://schemas.openxmlformats.org/officeDocument/2006/relationships/hyperlink" Target="https://www.linkedin.com/in/yolla-fauzia-nuraini-862b6a24/" TargetMode="External"/><Relationship Id="rId659" Type="http://schemas.openxmlformats.org/officeDocument/2006/relationships/hyperlink" Target="http://ralali.com/" TargetMode="External"/><Relationship Id="rId866" Type="http://schemas.openxmlformats.org/officeDocument/2006/relationships/hyperlink" Target="https://www.linkedin.com/in/henryandrewhuang/" TargetMode="External"/><Relationship Id="rId214" Type="http://schemas.openxmlformats.org/officeDocument/2006/relationships/hyperlink" Target="https://www.linkedin.com/in/martingeiger/" TargetMode="External"/><Relationship Id="rId298" Type="http://schemas.openxmlformats.org/officeDocument/2006/relationships/hyperlink" Target="https://www.linkedin.com/in/opiktrihandono/" TargetMode="External"/><Relationship Id="rId421" Type="http://schemas.openxmlformats.org/officeDocument/2006/relationships/hyperlink" Target="https://www.linkedin.com/in/vania-fitriana-putri-b21011b8/" TargetMode="External"/><Relationship Id="rId519" Type="http://schemas.openxmlformats.org/officeDocument/2006/relationships/hyperlink" Target="https://www.linkedin.com/in/anharrypulungan/" TargetMode="External"/><Relationship Id="rId1051" Type="http://schemas.openxmlformats.org/officeDocument/2006/relationships/hyperlink" Target="http://linkedin.com/in/alexandri-mumuh-b0b129173" TargetMode="External"/><Relationship Id="rId1149" Type="http://schemas.openxmlformats.org/officeDocument/2006/relationships/hyperlink" Target="https://www.linkedin.com/in/muhammad-ryanda-andhika-a479a9a6/" TargetMode="External"/><Relationship Id="rId158" Type="http://schemas.openxmlformats.org/officeDocument/2006/relationships/hyperlink" Target="https://www.linkedin.com/in/ashwin1985/" TargetMode="External"/><Relationship Id="rId726" Type="http://schemas.openxmlformats.org/officeDocument/2006/relationships/hyperlink" Target="https://www.linkedin.com/in/audrick" TargetMode="External"/><Relationship Id="rId933" Type="http://schemas.openxmlformats.org/officeDocument/2006/relationships/hyperlink" Target="https://www.linkedin.com/in/aikanshgupta" TargetMode="External"/><Relationship Id="rId1009" Type="http://schemas.openxmlformats.org/officeDocument/2006/relationships/hyperlink" Target="https://id.linkedin.com/in/zakiyah-az-zahra" TargetMode="External"/><Relationship Id="rId62" Type="http://schemas.openxmlformats.org/officeDocument/2006/relationships/hyperlink" Target="https://www.linkedin.com/in/subaish-rajamanickam/" TargetMode="External"/><Relationship Id="rId365" Type="http://schemas.openxmlformats.org/officeDocument/2006/relationships/hyperlink" Target="http://www.linkedin.com/in/charlenexuqingling" TargetMode="External"/><Relationship Id="rId572" Type="http://schemas.openxmlformats.org/officeDocument/2006/relationships/hyperlink" Target="https://www.linkedin.com/in/josephtalampas/" TargetMode="External"/><Relationship Id="rId225" Type="http://schemas.openxmlformats.org/officeDocument/2006/relationships/hyperlink" Target="https://www.linkedin.com/in/jesslyn-t-601a6853/" TargetMode="External"/><Relationship Id="rId432" Type="http://schemas.openxmlformats.org/officeDocument/2006/relationships/hyperlink" Target="https://www.linkedin.com/in/ajay-mall-282566a/" TargetMode="External"/><Relationship Id="rId877" Type="http://schemas.openxmlformats.org/officeDocument/2006/relationships/hyperlink" Target="https://www.linkedin.com/in/simon-vincent-6ab88859/" TargetMode="External"/><Relationship Id="rId1062" Type="http://schemas.openxmlformats.org/officeDocument/2006/relationships/hyperlink" Target="https://www.google.com/url?q=https://www.linkedin.com/in/anupam-mukherjee-66b73319/&amp;sa=D&amp;ust=1585802058040000&amp;usg=AFQjCNEAQBAt-sPR_5dUdh97Q24HB6YO2g" TargetMode="External"/><Relationship Id="rId737" Type="http://schemas.openxmlformats.org/officeDocument/2006/relationships/hyperlink" Target="https://id.linkedin.com/in/renaldy-krisna-623417174" TargetMode="External"/><Relationship Id="rId944" Type="http://schemas.openxmlformats.org/officeDocument/2006/relationships/hyperlink" Target="https://www.linkedin.com/in/felisha-wihartati/" TargetMode="External"/><Relationship Id="rId73" Type="http://schemas.openxmlformats.org/officeDocument/2006/relationships/hyperlink" Target="https://www.linkedin.com/in/nipunchawla/" TargetMode="External"/><Relationship Id="rId169" Type="http://schemas.openxmlformats.org/officeDocument/2006/relationships/hyperlink" Target="http://linkedin.com/in/simon-witenberg-96b78943" TargetMode="External"/><Relationship Id="rId376" Type="http://schemas.openxmlformats.org/officeDocument/2006/relationships/hyperlink" Target="https://www.linkedin.com/in/paige-lee-peiqi/" TargetMode="External"/><Relationship Id="rId583" Type="http://schemas.openxmlformats.org/officeDocument/2006/relationships/hyperlink" Target="https://www.linkedin.com/in/krisnaadiwiyana/" TargetMode="External"/><Relationship Id="rId790" Type="http://schemas.openxmlformats.org/officeDocument/2006/relationships/hyperlink" Target="https://www.linkedin.com/in/reinard-djajadikerta/" TargetMode="External"/><Relationship Id="rId804" Type="http://schemas.openxmlformats.org/officeDocument/2006/relationships/hyperlink" Target="https://www.linkedin.com/in/boki-indira-putri-b83b1717b/" TargetMode="External"/><Relationship Id="rId4" Type="http://schemas.openxmlformats.org/officeDocument/2006/relationships/hyperlink" Target="http://www.linkedin.com/in/rizky-handoyo-91520929" TargetMode="External"/><Relationship Id="rId236" Type="http://schemas.openxmlformats.org/officeDocument/2006/relationships/hyperlink" Target="https://www.linkedin.com/in/keithliwz/" TargetMode="External"/><Relationship Id="rId443" Type="http://schemas.openxmlformats.org/officeDocument/2006/relationships/hyperlink" Target="https://www.linkedin.com/in/muhaldi/" TargetMode="External"/><Relationship Id="rId650" Type="http://schemas.openxmlformats.org/officeDocument/2006/relationships/hyperlink" Target="https://www.linkedin.com/in/muhammad-nur-azmi-169722161/" TargetMode="External"/><Relationship Id="rId888" Type="http://schemas.openxmlformats.org/officeDocument/2006/relationships/hyperlink" Target="https://www.linkedin.com/in/anita-nugroho-b7b11688/" TargetMode="External"/><Relationship Id="rId1073" Type="http://schemas.openxmlformats.org/officeDocument/2006/relationships/hyperlink" Target="https://www.google.com/url?q=https://www.linkedin.com/in/rendyfebry/&amp;sa=D&amp;ust=1585802058050000&amp;usg=AFQjCNFVTAXMttf0s-A0l7t6TX8Qj_qcFA" TargetMode="External"/><Relationship Id="rId303" Type="http://schemas.openxmlformats.org/officeDocument/2006/relationships/hyperlink" Target="https://www.linkedin.com/in/yaroncohen/" TargetMode="External"/><Relationship Id="rId748" Type="http://schemas.openxmlformats.org/officeDocument/2006/relationships/hyperlink" Target="https://www.linkedin.com/in/raghu-kapur-90ba6b146/" TargetMode="External"/><Relationship Id="rId955" Type="http://schemas.openxmlformats.org/officeDocument/2006/relationships/hyperlink" Target="https://www.linkedin.com/in/nabilaputrisafira/" TargetMode="External"/><Relationship Id="rId1140" Type="http://schemas.openxmlformats.org/officeDocument/2006/relationships/hyperlink" Target="https://www.linkedin.com/in/foojihaw" TargetMode="External"/><Relationship Id="rId84" Type="http://schemas.openxmlformats.org/officeDocument/2006/relationships/hyperlink" Target="https://www.linkedin.com/in/syats" TargetMode="External"/><Relationship Id="rId387" Type="http://schemas.openxmlformats.org/officeDocument/2006/relationships/hyperlink" Target="http://www.linkedin.com/in/davy-joubert" TargetMode="External"/><Relationship Id="rId510" Type="http://schemas.openxmlformats.org/officeDocument/2006/relationships/hyperlink" Target="https://www.linkedin.com/in/ade-r-bastian/" TargetMode="External"/><Relationship Id="rId594" Type="http://schemas.openxmlformats.org/officeDocument/2006/relationships/hyperlink" Target="https://www.linkedin.com/in/julis-setyawan-231712121" TargetMode="External"/><Relationship Id="rId608" Type="http://schemas.openxmlformats.org/officeDocument/2006/relationships/hyperlink" Target="https://www.linkedin.com/in/zoeytran/" TargetMode="External"/><Relationship Id="rId815" Type="http://schemas.openxmlformats.org/officeDocument/2006/relationships/hyperlink" Target="https://www.linkedin.com/in/jhian-garrey-reyes-6b65a2146/" TargetMode="External"/><Relationship Id="rId247" Type="http://schemas.openxmlformats.org/officeDocument/2006/relationships/hyperlink" Target="https://www.linkedin.com/in/abdurahmanhidayat" TargetMode="External"/><Relationship Id="rId899" Type="http://schemas.openxmlformats.org/officeDocument/2006/relationships/hyperlink" Target="https://www.linkedin.com/in/raoprashanth/" TargetMode="External"/><Relationship Id="rId1000" Type="http://schemas.openxmlformats.org/officeDocument/2006/relationships/hyperlink" Target="https://www.linkedin.com/in/whitneymorgan/" TargetMode="External"/><Relationship Id="rId1084" Type="http://schemas.openxmlformats.org/officeDocument/2006/relationships/hyperlink" Target="https://www.google.com/url?q=https://www.linkedin.com/in/sidmehrotra/&amp;sa=D&amp;ust=1585802058062000&amp;usg=AFQjCNE_Bdx6UEfsm4G3zjEvpzArb9lJLw" TargetMode="External"/><Relationship Id="rId107" Type="http://schemas.openxmlformats.org/officeDocument/2006/relationships/hyperlink" Target="https://www.linkedin.com/in/sinyichua/" TargetMode="External"/><Relationship Id="rId454" Type="http://schemas.openxmlformats.org/officeDocument/2006/relationships/hyperlink" Target="https://www.linkedin.com/in/hartaman/" TargetMode="External"/><Relationship Id="rId661" Type="http://schemas.openxmlformats.org/officeDocument/2006/relationships/hyperlink" Target="https://www.linkedin.com/in/rahman-aboujeeb/" TargetMode="External"/><Relationship Id="rId759" Type="http://schemas.openxmlformats.org/officeDocument/2006/relationships/hyperlink" Target="https://www.linkedin.com/in/sudharsantv/" TargetMode="External"/><Relationship Id="rId966" Type="http://schemas.openxmlformats.org/officeDocument/2006/relationships/hyperlink" Target="http://linkedin.com/in/tech4earth" TargetMode="External"/><Relationship Id="rId11" Type="http://schemas.openxmlformats.org/officeDocument/2006/relationships/hyperlink" Target="https://www.linkedin.com/in/ariel-casala-73301b14" TargetMode="External"/><Relationship Id="rId314" Type="http://schemas.openxmlformats.org/officeDocument/2006/relationships/hyperlink" Target="http://linkedin.com/shella-anjela" TargetMode="External"/><Relationship Id="rId398" Type="http://schemas.openxmlformats.org/officeDocument/2006/relationships/hyperlink" Target="https://www.linkedin.com/in/victor-sasongko-229085b4" TargetMode="External"/><Relationship Id="rId521" Type="http://schemas.openxmlformats.org/officeDocument/2006/relationships/hyperlink" Target="https://www.linkedin.com/in/akandsitra/" TargetMode="External"/><Relationship Id="rId619" Type="http://schemas.openxmlformats.org/officeDocument/2006/relationships/hyperlink" Target="https://www.linkedin.com/in/pujiatiutami/" TargetMode="External"/><Relationship Id="rId1151" Type="http://schemas.openxmlformats.org/officeDocument/2006/relationships/hyperlink" Target="https://www.linkedin.com/in/devita-rahma/" TargetMode="External"/><Relationship Id="rId95" Type="http://schemas.openxmlformats.org/officeDocument/2006/relationships/hyperlink" Target="https://www.linkedin.com/in/laura-achach/" TargetMode="External"/><Relationship Id="rId160" Type="http://schemas.openxmlformats.org/officeDocument/2006/relationships/hyperlink" Target="https://sg.linkedin.com/in/jonathanaustin" TargetMode="External"/><Relationship Id="rId826" Type="http://schemas.openxmlformats.org/officeDocument/2006/relationships/hyperlink" Target="https://www.linkedin.com/in/coco-carreon-50565740/" TargetMode="External"/><Relationship Id="rId1011" Type="http://schemas.openxmlformats.org/officeDocument/2006/relationships/hyperlink" Target="https://www.linkedin.com/in/racheleongmacy" TargetMode="External"/><Relationship Id="rId1109" Type="http://schemas.openxmlformats.org/officeDocument/2006/relationships/hyperlink" Target="https://www.google.com/url?q=https://www.linkedin.com/in/chetanphirke/&amp;sa=D&amp;ust=1585802058091000&amp;usg=AFQjCNFAB87_3mw9td112xsbWzYOunwyNA" TargetMode="External"/><Relationship Id="rId258" Type="http://schemas.openxmlformats.org/officeDocument/2006/relationships/hyperlink" Target="https://www.linkedin.com/in/raras-astarini-26615962" TargetMode="External"/><Relationship Id="rId465" Type="http://schemas.openxmlformats.org/officeDocument/2006/relationships/hyperlink" Target="https://id.linkedin.com/in/rudi-muliawan" TargetMode="External"/><Relationship Id="rId672" Type="http://schemas.openxmlformats.org/officeDocument/2006/relationships/hyperlink" Target="https://www.linkedin.com/in/veehowechong/" TargetMode="External"/><Relationship Id="rId1095" Type="http://schemas.openxmlformats.org/officeDocument/2006/relationships/hyperlink" Target="https://www.google.com/url?q=https://www.linkedin.com/in/clairepauya/&amp;sa=D&amp;ust=1585802058073000&amp;usg=AFQjCNEKxhE9Z6V9pbmdl8qwFYrE2K_3vA" TargetMode="External"/><Relationship Id="rId22" Type="http://schemas.openxmlformats.org/officeDocument/2006/relationships/hyperlink" Target="https://www.linkedin.com/in/aprishchepa/" TargetMode="External"/><Relationship Id="rId118" Type="http://schemas.openxmlformats.org/officeDocument/2006/relationships/hyperlink" Target="https://www.linkedin.com/in/eric-boyer-15698a145/" TargetMode="External"/><Relationship Id="rId325" Type="http://schemas.openxmlformats.org/officeDocument/2006/relationships/hyperlink" Target="https://www.linkedin.com/in/geewazowski/" TargetMode="External"/><Relationship Id="rId532" Type="http://schemas.openxmlformats.org/officeDocument/2006/relationships/hyperlink" Target="https://www.linkedin.com/in/irwantowidyatri" TargetMode="External"/><Relationship Id="rId977" Type="http://schemas.openxmlformats.org/officeDocument/2006/relationships/hyperlink" Target="https://www.linkedin.com/in/joshitapuri/" TargetMode="External"/><Relationship Id="rId1162" Type="http://schemas.openxmlformats.org/officeDocument/2006/relationships/hyperlink" Target="https://www.linkedin.com/in/raditio-permadi-soeryonegoro-6a1714b7/" TargetMode="External"/><Relationship Id="rId171" Type="http://schemas.openxmlformats.org/officeDocument/2006/relationships/hyperlink" Target="about:blank" TargetMode="External"/><Relationship Id="rId837" Type="http://schemas.openxmlformats.org/officeDocument/2006/relationships/hyperlink" Target="https://www.linkedin.com/in/zigormunoz/" TargetMode="External"/><Relationship Id="rId1022" Type="http://schemas.openxmlformats.org/officeDocument/2006/relationships/hyperlink" Target="https://www.linkedin.com/in/husnulkhoo/" TargetMode="External"/><Relationship Id="rId269" Type="http://schemas.openxmlformats.org/officeDocument/2006/relationships/hyperlink" Target="http://www.linkedin.com/in/citra-andinna-194327121" TargetMode="External"/><Relationship Id="rId476" Type="http://schemas.openxmlformats.org/officeDocument/2006/relationships/hyperlink" Target="https://www.linkedin.com/in/alfredo-marciano-zola-805340139/" TargetMode="External"/><Relationship Id="rId683" Type="http://schemas.openxmlformats.org/officeDocument/2006/relationships/hyperlink" Target="https://www.linkedin.com/in/tanishamundra/" TargetMode="External"/><Relationship Id="rId890" Type="http://schemas.openxmlformats.org/officeDocument/2006/relationships/hyperlink" Target="https://www.linkedin.com/in/pawansg/" TargetMode="External"/><Relationship Id="rId904" Type="http://schemas.openxmlformats.org/officeDocument/2006/relationships/hyperlink" Target="https://www.linkedin.com/in/dikyapriantotaher93/" TargetMode="External"/><Relationship Id="rId33" Type="http://schemas.openxmlformats.org/officeDocument/2006/relationships/hyperlink" Target="https://www.linkedin.com/in/jearworrawut/" TargetMode="External"/><Relationship Id="rId129" Type="http://schemas.openxmlformats.org/officeDocument/2006/relationships/hyperlink" Target="http://linkedin.com/in/cwzi7z" TargetMode="External"/><Relationship Id="rId336" Type="http://schemas.openxmlformats.org/officeDocument/2006/relationships/hyperlink" Target="http://www.linkedin.com/ericlimkj" TargetMode="External"/><Relationship Id="rId543" Type="http://schemas.openxmlformats.org/officeDocument/2006/relationships/hyperlink" Target="https://www.linkedin.com/in/kimmylhuynh/" TargetMode="External"/><Relationship Id="rId988" Type="http://schemas.openxmlformats.org/officeDocument/2006/relationships/hyperlink" Target="https://www.linkedin.com/in/pdanthony/" TargetMode="External"/><Relationship Id="rId1173" Type="http://schemas.openxmlformats.org/officeDocument/2006/relationships/hyperlink" Target="https://www.linkedin.com/in/alyssa-nadira-hamid-ba195b153/" TargetMode="External"/><Relationship Id="rId182" Type="http://schemas.openxmlformats.org/officeDocument/2006/relationships/hyperlink" Target="https://www.linkedin.com/in/arpit-maheshwari-70a9a718/" TargetMode="External"/><Relationship Id="rId403" Type="http://schemas.openxmlformats.org/officeDocument/2006/relationships/hyperlink" Target="https://www.linkedin.com/in/sallysally/" TargetMode="External"/><Relationship Id="rId750" Type="http://schemas.openxmlformats.org/officeDocument/2006/relationships/hyperlink" Target="https://www.linkedin.com/in/evonatan/" TargetMode="External"/><Relationship Id="rId848" Type="http://schemas.openxmlformats.org/officeDocument/2006/relationships/hyperlink" Target="http://www.linkedin.com/in/sreekan" TargetMode="External"/><Relationship Id="rId1033" Type="http://schemas.openxmlformats.org/officeDocument/2006/relationships/hyperlink" Target="https://www.linkedin.com/in/alexdujr/" TargetMode="External"/><Relationship Id="rId487" Type="http://schemas.openxmlformats.org/officeDocument/2006/relationships/hyperlink" Target="https://www.linkedin.com/in/dyah-eras-mita-679307108/" TargetMode="External"/><Relationship Id="rId610" Type="http://schemas.openxmlformats.org/officeDocument/2006/relationships/hyperlink" Target="https://www.linkedin.com/in/anna-leusder-753bb851" TargetMode="External"/><Relationship Id="rId694" Type="http://schemas.openxmlformats.org/officeDocument/2006/relationships/hyperlink" Target="https://www.linkedin.com/mwlite/in/sandy-herho-223bb449" TargetMode="External"/><Relationship Id="rId708" Type="http://schemas.openxmlformats.org/officeDocument/2006/relationships/hyperlink" Target="https://www.linkedin.com/in/wilfried-buiron/" TargetMode="External"/><Relationship Id="rId915" Type="http://schemas.openxmlformats.org/officeDocument/2006/relationships/hyperlink" Target="https://www.linkedin.com/in/ryansupersticioso" TargetMode="External"/><Relationship Id="rId347" Type="http://schemas.openxmlformats.org/officeDocument/2006/relationships/hyperlink" Target="https://www.linkedin.com/in/gladys-ng/" TargetMode="External"/><Relationship Id="rId999" Type="http://schemas.openxmlformats.org/officeDocument/2006/relationships/hyperlink" Target="http://linkedin.com/in/megasuryofirdaus" TargetMode="External"/><Relationship Id="rId1100" Type="http://schemas.openxmlformats.org/officeDocument/2006/relationships/hyperlink" Target="https://www.google.com/url?q=https://www.linkedin.com/in/jimdelacruz/&amp;sa=D&amp;ust=1585802058077000&amp;usg=AFQjCNFeuUEycDohJnzoxrUptXKC3NhCHQ" TargetMode="External"/><Relationship Id="rId1184" Type="http://schemas.openxmlformats.org/officeDocument/2006/relationships/hyperlink" Target="https://www.linkedin.com/in/prispayana-vidro-amero-227a1790/" TargetMode="External"/><Relationship Id="rId44" Type="http://schemas.openxmlformats.org/officeDocument/2006/relationships/hyperlink" Target="https://www.linkedin.com/in/kuriensk/" TargetMode="External"/><Relationship Id="rId554" Type="http://schemas.openxmlformats.org/officeDocument/2006/relationships/hyperlink" Target="https://www.linkedin.com/in/dimasnotowidjojo/" TargetMode="External"/><Relationship Id="rId761" Type="http://schemas.openxmlformats.org/officeDocument/2006/relationships/hyperlink" Target="https://www.linkedin.com/in/reinarddy/" TargetMode="External"/><Relationship Id="rId859" Type="http://schemas.openxmlformats.org/officeDocument/2006/relationships/hyperlink" Target="http://linkedin.com/in/tiffany-dwi-putri-1b411095" TargetMode="External"/><Relationship Id="rId193" Type="http://schemas.openxmlformats.org/officeDocument/2006/relationships/hyperlink" Target="https://www.linkedin.com/in/gegelen/" TargetMode="External"/><Relationship Id="rId207" Type="http://schemas.openxmlformats.org/officeDocument/2006/relationships/hyperlink" Target="https://id.linkedin.com/in/bagaschristian" TargetMode="External"/><Relationship Id="rId414" Type="http://schemas.openxmlformats.org/officeDocument/2006/relationships/hyperlink" Target="https://www.linkedin.com/in/afsar-ali-3465a556/" TargetMode="External"/><Relationship Id="rId498" Type="http://schemas.openxmlformats.org/officeDocument/2006/relationships/hyperlink" Target="https://www.linkedin.com/in/fikbar/" TargetMode="External"/><Relationship Id="rId621" Type="http://schemas.openxmlformats.org/officeDocument/2006/relationships/hyperlink" Target="https://www.linkedin.com/in/alimnuriqra/" TargetMode="External"/><Relationship Id="rId1044" Type="http://schemas.openxmlformats.org/officeDocument/2006/relationships/hyperlink" Target="https://www.linkedin.com/in/hugo-mar-82711190/" TargetMode="External"/><Relationship Id="rId260" Type="http://schemas.openxmlformats.org/officeDocument/2006/relationships/hyperlink" Target="https://www.linkedin.com/in/ryan-pua-jiajiun/" TargetMode="External"/><Relationship Id="rId719" Type="http://schemas.openxmlformats.org/officeDocument/2006/relationships/hyperlink" Target="https://www.linkedin.com/in/shabirin" TargetMode="External"/><Relationship Id="rId926" Type="http://schemas.openxmlformats.org/officeDocument/2006/relationships/hyperlink" Target="https://www.linkedin.com/in/atulyamarwah/" TargetMode="External"/><Relationship Id="rId1111" Type="http://schemas.openxmlformats.org/officeDocument/2006/relationships/hyperlink" Target="https://www.google.com/url?q=https://www.linkedin.com/in/aisyahrzk&amp;sa=D&amp;ust=1585802058093000&amp;usg=AFQjCNHNqWNCqKgQBVuanDNsbqpaGJtHsw" TargetMode="External"/><Relationship Id="rId55" Type="http://schemas.openxmlformats.org/officeDocument/2006/relationships/hyperlink" Target="http://linkedin.com/in/andreteow" TargetMode="External"/><Relationship Id="rId120" Type="http://schemas.openxmlformats.org/officeDocument/2006/relationships/hyperlink" Target="https://www.linkedin.com/in/akshayvishnubhat" TargetMode="External"/><Relationship Id="rId358" Type="http://schemas.openxmlformats.org/officeDocument/2006/relationships/hyperlink" Target="https://www.linkedin.com/in/nitin-w-0a003824/" TargetMode="External"/><Relationship Id="rId565" Type="http://schemas.openxmlformats.org/officeDocument/2006/relationships/hyperlink" Target="https://www.linkedin.com/in/izzatullo-khabibullaev" TargetMode="External"/><Relationship Id="rId772" Type="http://schemas.openxmlformats.org/officeDocument/2006/relationships/hyperlink" Target="https://www.linkedin.com/in/sandralimsg/" TargetMode="External"/><Relationship Id="rId1195" Type="http://schemas.openxmlformats.org/officeDocument/2006/relationships/hyperlink" Target="https://www.linkedin.com/in/vicky-dwi-kurniawan-256b7b45/" TargetMode="External"/><Relationship Id="rId1209" Type="http://schemas.openxmlformats.org/officeDocument/2006/relationships/hyperlink" Target="https://www.linkedin.com/in/henny-poniman-b0293a5/" TargetMode="External"/><Relationship Id="rId218" Type="http://schemas.openxmlformats.org/officeDocument/2006/relationships/hyperlink" Target="http://linkedin.com/in/guy-hudson-56716539" TargetMode="External"/><Relationship Id="rId425" Type="http://schemas.openxmlformats.org/officeDocument/2006/relationships/hyperlink" Target="https://www.linkedin.com/in/emyliaanwar/" TargetMode="External"/><Relationship Id="rId632" Type="http://schemas.openxmlformats.org/officeDocument/2006/relationships/hyperlink" Target="https://www.linkedin.com/in/hongalice/" TargetMode="External"/><Relationship Id="rId1055" Type="http://schemas.openxmlformats.org/officeDocument/2006/relationships/hyperlink" Target="https://www.google.com/url?q=https://www.linkedin.com/in/mariobryantan&amp;sa=D&amp;ust=1585802058032000&amp;usg=AFQjCNHdjdWp3kzmKHsynOXeLfejxgp6bg" TargetMode="External"/><Relationship Id="rId271" Type="http://schemas.openxmlformats.org/officeDocument/2006/relationships/hyperlink" Target="http://linkedin.com/in/adinda-wardhani-01108250" TargetMode="External"/><Relationship Id="rId937" Type="http://schemas.openxmlformats.org/officeDocument/2006/relationships/hyperlink" Target="https://www.linkedin.com/in/firdaus-nejim-al-asedi-4044b212a/" TargetMode="External"/><Relationship Id="rId1122" Type="http://schemas.openxmlformats.org/officeDocument/2006/relationships/hyperlink" Target="https://www.google.com/url?q=https://www.linkedin.com/in/lexternano/&amp;sa=D&amp;ust=1585802058105000&amp;usg=AFQjCNHcfwXH5qBUXuLeGZdZz1ujHpGF_g" TargetMode="External"/><Relationship Id="rId66" Type="http://schemas.openxmlformats.org/officeDocument/2006/relationships/hyperlink" Target="https://www.linkedin.com/in/kirstytsang/" TargetMode="External"/><Relationship Id="rId131" Type="http://schemas.openxmlformats.org/officeDocument/2006/relationships/hyperlink" Target="https://www.linkedin.com/in/fathimaheniya/" TargetMode="External"/><Relationship Id="rId369" Type="http://schemas.openxmlformats.org/officeDocument/2006/relationships/hyperlink" Target="https://www.linkedin.com/in/parinee-chantaharn/" TargetMode="External"/><Relationship Id="rId576" Type="http://schemas.openxmlformats.org/officeDocument/2006/relationships/hyperlink" Target="https://www.linkedin.com/in/jane-misshela-tampubolon-27735039/" TargetMode="External"/><Relationship Id="rId783" Type="http://schemas.openxmlformats.org/officeDocument/2006/relationships/hyperlink" Target="https://www.linkedin.com/in/cinta-nastasya-475207101/" TargetMode="External"/><Relationship Id="rId990" Type="http://schemas.openxmlformats.org/officeDocument/2006/relationships/hyperlink" Target="http://linkedin.com/raewynkoh" TargetMode="External"/><Relationship Id="rId229" Type="http://schemas.openxmlformats.org/officeDocument/2006/relationships/hyperlink" Target="https://www.linkedin.com/in/bernadette-vina-08713077/" TargetMode="External"/><Relationship Id="rId436" Type="http://schemas.openxmlformats.org/officeDocument/2006/relationships/hyperlink" Target="https://www.linkedin.com/in/amranjit-singh-datt-096a3958" TargetMode="External"/><Relationship Id="rId643" Type="http://schemas.openxmlformats.org/officeDocument/2006/relationships/hyperlink" Target="http://www.linkedin.com/in/sarah-elise-ezzuddeen-399516165" TargetMode="External"/><Relationship Id="rId1066" Type="http://schemas.openxmlformats.org/officeDocument/2006/relationships/hyperlink" Target="https://www.google.com/url?q=https://www.linkedin.com/in/dhiraj-sharma-a60a5791/&amp;sa=D&amp;ust=1585802058043000&amp;usg=AFQjCNHpU5iiVgGS6GOfhgEzufCLac2aTQ" TargetMode="External"/><Relationship Id="rId850" Type="http://schemas.openxmlformats.org/officeDocument/2006/relationships/hyperlink" Target="https://www.linkedin.com/in/eva-lefaix/" TargetMode="External"/><Relationship Id="rId948" Type="http://schemas.openxmlformats.org/officeDocument/2006/relationships/hyperlink" Target="http://referhire.com/" TargetMode="External"/><Relationship Id="rId1133" Type="http://schemas.openxmlformats.org/officeDocument/2006/relationships/hyperlink" Target="https://www.google.com/url?q=https://www.linkedin.com/in/sammypradipta/&amp;sa=D&amp;ust=1585802058113000&amp;usg=AFQjCNHP55RFMkrRFAk1Iu6LE9M2LNyeEw" TargetMode="External"/><Relationship Id="rId77" Type="http://schemas.openxmlformats.org/officeDocument/2006/relationships/hyperlink" Target="https://www.linkedin.com/in/dasararaju/" TargetMode="External"/><Relationship Id="rId282" Type="http://schemas.openxmlformats.org/officeDocument/2006/relationships/hyperlink" Target="https://www.linkedin.com/in/brandenho/" TargetMode="External"/><Relationship Id="rId503" Type="http://schemas.openxmlformats.org/officeDocument/2006/relationships/hyperlink" Target="https://www.linkedin.com/in/nicole-ricciardi-54aabb2a/" TargetMode="External"/><Relationship Id="rId587" Type="http://schemas.openxmlformats.org/officeDocument/2006/relationships/hyperlink" Target="http://linkedin.com/in/maulana-yusup" TargetMode="External"/><Relationship Id="rId710" Type="http://schemas.openxmlformats.org/officeDocument/2006/relationships/hyperlink" Target="https://www.linkedin.com/in/sharmaprerna025/" TargetMode="External"/><Relationship Id="rId808" Type="http://schemas.openxmlformats.org/officeDocument/2006/relationships/hyperlink" Target="https://www.linkedin.com/in/abhishekshriv/" TargetMode="External"/><Relationship Id="rId8" Type="http://schemas.openxmlformats.org/officeDocument/2006/relationships/hyperlink" Target="https://www.linkedin.com/in/punit-pratap-singh-1866a3163/" TargetMode="External"/><Relationship Id="rId142" Type="http://schemas.openxmlformats.org/officeDocument/2006/relationships/hyperlink" Target="https://www.linkedin.com/in/silvia-putriwahyuni-b0aa73152" TargetMode="External"/><Relationship Id="rId447" Type="http://schemas.openxmlformats.org/officeDocument/2006/relationships/hyperlink" Target="http://www.linkedin.com/in/jettsaw" TargetMode="External"/><Relationship Id="rId794" Type="http://schemas.openxmlformats.org/officeDocument/2006/relationships/hyperlink" Target="https://www.linkedin.com/in/nisha-yusof-4167aa134/" TargetMode="External"/><Relationship Id="rId1077" Type="http://schemas.openxmlformats.org/officeDocument/2006/relationships/hyperlink" Target="https://www.google.com/url?q=https://www.linkedin.com/in/abirdatta/&amp;sa=D&amp;ust=1585802058054000&amp;usg=AFQjCNHiT_VRM7zSpk00A6iZB1-gG65p-g" TargetMode="External"/><Relationship Id="rId1200" Type="http://schemas.openxmlformats.org/officeDocument/2006/relationships/hyperlink" Target="https://www.linkedin.com/in/baadillahnabil/" TargetMode="External"/><Relationship Id="rId654" Type="http://schemas.openxmlformats.org/officeDocument/2006/relationships/hyperlink" Target="https://www.linkedin.com/in/nadyabelinda/" TargetMode="External"/><Relationship Id="rId861" Type="http://schemas.openxmlformats.org/officeDocument/2006/relationships/hyperlink" Target="http://linkedin.com/in/putri-pratiwi-075570183" TargetMode="External"/><Relationship Id="rId959" Type="http://schemas.openxmlformats.org/officeDocument/2006/relationships/hyperlink" Target="https://www.linkedin.com/in/halief/" TargetMode="External"/><Relationship Id="rId293" Type="http://schemas.openxmlformats.org/officeDocument/2006/relationships/hyperlink" Target="https://www.linkedin.com/mwlite/in/v-mercy-k-243646117" TargetMode="External"/><Relationship Id="rId307" Type="http://schemas.openxmlformats.org/officeDocument/2006/relationships/hyperlink" Target="https://www.linkedin.com/in/ananda-buraityte-0a729812b/" TargetMode="External"/><Relationship Id="rId514" Type="http://schemas.openxmlformats.org/officeDocument/2006/relationships/hyperlink" Target="http://www.linkedin.com/in/karliechungtk" TargetMode="External"/><Relationship Id="rId721" Type="http://schemas.openxmlformats.org/officeDocument/2006/relationships/hyperlink" Target="https://www.linkedin.com/in/mahdhirmustaffa/" TargetMode="External"/><Relationship Id="rId1144" Type="http://schemas.openxmlformats.org/officeDocument/2006/relationships/hyperlink" Target="https://www.linkedin.com/in/sarah-leviseur/" TargetMode="External"/><Relationship Id="rId88" Type="http://schemas.openxmlformats.org/officeDocument/2006/relationships/hyperlink" Target="https://www.linkedin.com/in/marley-serren-14b45417b" TargetMode="External"/><Relationship Id="rId153" Type="http://schemas.openxmlformats.org/officeDocument/2006/relationships/hyperlink" Target="https://www.linkedin.com/in/aleksandra-flis-a95649127/" TargetMode="External"/><Relationship Id="rId360" Type="http://schemas.openxmlformats.org/officeDocument/2006/relationships/hyperlink" Target="https://in.linkedin.com/in/sohambabu" TargetMode="External"/><Relationship Id="rId598" Type="http://schemas.openxmlformats.org/officeDocument/2006/relationships/hyperlink" Target="https://www.linkedin.com/in/julesperrot/" TargetMode="External"/><Relationship Id="rId819" Type="http://schemas.openxmlformats.org/officeDocument/2006/relationships/hyperlink" Target="http://www.linkedin.com/in/choi-kwun-yu" TargetMode="External"/><Relationship Id="rId1004" Type="http://schemas.openxmlformats.org/officeDocument/2006/relationships/hyperlink" Target="http://linkedin.com/in/lizasyafrina" TargetMode="External"/><Relationship Id="rId220" Type="http://schemas.openxmlformats.org/officeDocument/2006/relationships/hyperlink" Target="http://homecare24.id/" TargetMode="External"/><Relationship Id="rId458" Type="http://schemas.openxmlformats.org/officeDocument/2006/relationships/hyperlink" Target="https://www.linkedin.com/in/ruckuus/" TargetMode="External"/><Relationship Id="rId665" Type="http://schemas.openxmlformats.org/officeDocument/2006/relationships/hyperlink" Target="https://www.linkedin.com/in/biondi-tantra/" TargetMode="External"/><Relationship Id="rId872" Type="http://schemas.openxmlformats.org/officeDocument/2006/relationships/hyperlink" Target="https://www.linkedin.com/in/fernando-jonathan/" TargetMode="External"/><Relationship Id="rId1088" Type="http://schemas.openxmlformats.org/officeDocument/2006/relationships/hyperlink" Target="https://www.google.com/url?q=https://www.linkedin.com/in/krutik-khandhadiya-43582616/&amp;sa=D&amp;ust=1585802058067000&amp;usg=AFQjCNHuKMD5Lu4lyNSXeCtQXG1HAW2CEQ" TargetMode="External"/><Relationship Id="rId15" Type="http://schemas.openxmlformats.org/officeDocument/2006/relationships/hyperlink" Target="https://www.linkedin.com/in/gauravharchwani/" TargetMode="External"/><Relationship Id="rId318" Type="http://schemas.openxmlformats.org/officeDocument/2006/relationships/hyperlink" Target="https://linkedin.com/in/triadi-ibrahim-226419115" TargetMode="External"/><Relationship Id="rId525" Type="http://schemas.openxmlformats.org/officeDocument/2006/relationships/hyperlink" Target="https://www.linkedin.com/in/giulia-baiocchi/" TargetMode="External"/><Relationship Id="rId732" Type="http://schemas.openxmlformats.org/officeDocument/2006/relationships/hyperlink" Target="https://www.linkedin.com/in/jrmdhn/" TargetMode="External"/><Relationship Id="rId1155" Type="http://schemas.openxmlformats.org/officeDocument/2006/relationships/hyperlink" Target="https://www.linkedin.com/in/dwishaktimangkuratmaja/" TargetMode="External"/><Relationship Id="rId99" Type="http://schemas.openxmlformats.org/officeDocument/2006/relationships/hyperlink" Target="https://www.linkedin.com/in/fadly-negara-519823b9/" TargetMode="External"/><Relationship Id="rId164" Type="http://schemas.openxmlformats.org/officeDocument/2006/relationships/hyperlink" Target="https://www.linkedin.com/in/eva-marina-rianty-33071812b/" TargetMode="External"/><Relationship Id="rId371" Type="http://schemas.openxmlformats.org/officeDocument/2006/relationships/hyperlink" Target="http://99.co/" TargetMode="External"/><Relationship Id="rId1015" Type="http://schemas.openxmlformats.org/officeDocument/2006/relationships/hyperlink" Target="https://www.linkedin.com/in/varisara-supachart/" TargetMode="External"/><Relationship Id="rId469" Type="http://schemas.openxmlformats.org/officeDocument/2006/relationships/hyperlink" Target="http://prestisa.com/" TargetMode="External"/><Relationship Id="rId676" Type="http://schemas.openxmlformats.org/officeDocument/2006/relationships/hyperlink" Target="https://www.linkedin.com/in/faiz-wirananda-736368142/" TargetMode="External"/><Relationship Id="rId883" Type="http://schemas.openxmlformats.org/officeDocument/2006/relationships/hyperlink" Target="https://www.linkedin.com/in/dheantri-trisna-9a6a72169/" TargetMode="External"/><Relationship Id="rId1099" Type="http://schemas.openxmlformats.org/officeDocument/2006/relationships/hyperlink" Target="https://www.google.com/url?q=https://www.linkedin.com/in/rmidelrosario/&amp;sa=D&amp;ust=1585802058076000&amp;usg=AFQjCNHlFtV3bqGnWyDQYBhUGTYo4_jY6A" TargetMode="External"/><Relationship Id="rId26" Type="http://schemas.openxmlformats.org/officeDocument/2006/relationships/hyperlink" Target="https://www.linkedin.com/in/muhdferoz/" TargetMode="External"/><Relationship Id="rId231" Type="http://schemas.openxmlformats.org/officeDocument/2006/relationships/hyperlink" Target="https://www.linkedin.com/in/okiviani-amanda-sastri/" TargetMode="External"/><Relationship Id="rId329" Type="http://schemas.openxmlformats.org/officeDocument/2006/relationships/hyperlink" Target="https://www.linkedin.com/in/menonrahul/" TargetMode="External"/><Relationship Id="rId536" Type="http://schemas.openxmlformats.org/officeDocument/2006/relationships/hyperlink" Target="https://www.linkedin.com/in/youngjhoni/" TargetMode="External"/><Relationship Id="rId1166" Type="http://schemas.openxmlformats.org/officeDocument/2006/relationships/hyperlink" Target="https://www.linkedin.com/in/prajnatara-prajnatara/" TargetMode="External"/><Relationship Id="rId175" Type="http://schemas.openxmlformats.org/officeDocument/2006/relationships/hyperlink" Target="https://www.linkedin.com/in/nursafiahalias/" TargetMode="External"/><Relationship Id="rId743" Type="http://schemas.openxmlformats.org/officeDocument/2006/relationships/hyperlink" Target="https://www.instagram.com/p/B-hebOPBieH/" TargetMode="External"/><Relationship Id="rId950" Type="http://schemas.openxmlformats.org/officeDocument/2006/relationships/hyperlink" Target="https://www.linkedin.com/in/samuel-yamin-09b67489/" TargetMode="External"/><Relationship Id="rId1026" Type="http://schemas.openxmlformats.org/officeDocument/2006/relationships/hyperlink" Target="http://linkedin.com/in/radityaw" TargetMode="External"/><Relationship Id="rId382" Type="http://schemas.openxmlformats.org/officeDocument/2006/relationships/hyperlink" Target="https://www.linkedin.com/in/aakash-suri-aa772b67/" TargetMode="External"/><Relationship Id="rId603" Type="http://schemas.openxmlformats.org/officeDocument/2006/relationships/hyperlink" Target="https://www.linkedin.com/in/baguswnusihono/" TargetMode="External"/><Relationship Id="rId687" Type="http://schemas.openxmlformats.org/officeDocument/2006/relationships/hyperlink" Target="https://www.linkedin.com/in/lee-sue-mei/" TargetMode="External"/><Relationship Id="rId810" Type="http://schemas.openxmlformats.org/officeDocument/2006/relationships/hyperlink" Target="https://www.linkedin.com/in/wasifk/" TargetMode="External"/><Relationship Id="rId908" Type="http://schemas.openxmlformats.org/officeDocument/2006/relationships/hyperlink" Target="http://linkedin.com/in/haziq-suhaimi" TargetMode="External"/><Relationship Id="rId242" Type="http://schemas.openxmlformats.org/officeDocument/2006/relationships/hyperlink" Target="https://www.linkedin.com/in/vickrantsiingh/" TargetMode="External"/><Relationship Id="rId894" Type="http://schemas.openxmlformats.org/officeDocument/2006/relationships/hyperlink" Target="http://www.linked.com/bhatiavarun" TargetMode="External"/><Relationship Id="rId1177" Type="http://schemas.openxmlformats.org/officeDocument/2006/relationships/hyperlink" Target="https://www.linkedin.com/in/maniyadeleon/" TargetMode="External"/><Relationship Id="rId37" Type="http://schemas.openxmlformats.org/officeDocument/2006/relationships/hyperlink" Target="https://www.linkedin.com/in/cyyambao" TargetMode="External"/><Relationship Id="rId102" Type="http://schemas.openxmlformats.org/officeDocument/2006/relationships/hyperlink" Target="https://www.linkedin.com/in/sisongtay/" TargetMode="External"/><Relationship Id="rId547" Type="http://schemas.openxmlformats.org/officeDocument/2006/relationships/hyperlink" Target="https://www.linkedin.com/in/vaniajosephinst/" TargetMode="External"/><Relationship Id="rId754" Type="http://schemas.openxmlformats.org/officeDocument/2006/relationships/hyperlink" Target="https://www.linkedin.com/in/mraagil/" TargetMode="External"/><Relationship Id="rId961" Type="http://schemas.openxmlformats.org/officeDocument/2006/relationships/hyperlink" Target="https://www.linkedin.com/in/liyichang/" TargetMode="External"/><Relationship Id="rId90" Type="http://schemas.openxmlformats.org/officeDocument/2006/relationships/hyperlink" Target="https://www.linkedin.com/in/julianwuz/" TargetMode="External"/><Relationship Id="rId186" Type="http://schemas.openxmlformats.org/officeDocument/2006/relationships/hyperlink" Target="http://linkedin.com/in/kartikarora" TargetMode="External"/><Relationship Id="rId393" Type="http://schemas.openxmlformats.org/officeDocument/2006/relationships/hyperlink" Target="https://www.linkedin.com/in/gusmanwidodo/" TargetMode="External"/><Relationship Id="rId407" Type="http://schemas.openxmlformats.org/officeDocument/2006/relationships/hyperlink" Target="https://id.linkedin.com/in/putra-rizkhy-ananda-9444994b" TargetMode="External"/><Relationship Id="rId614" Type="http://schemas.openxmlformats.org/officeDocument/2006/relationships/hyperlink" Target="http://www.linkedin.com/in/marcodevivo" TargetMode="External"/><Relationship Id="rId821" Type="http://schemas.openxmlformats.org/officeDocument/2006/relationships/hyperlink" Target="http://linkedin.com/in/massie-dwitama-9428a4b0" TargetMode="External"/><Relationship Id="rId1037" Type="http://schemas.openxmlformats.org/officeDocument/2006/relationships/hyperlink" Target="https://www.linkedin.com/in/aditya-sukarta-28387079/" TargetMode="External"/><Relationship Id="rId253" Type="http://schemas.openxmlformats.org/officeDocument/2006/relationships/hyperlink" Target="https://www.linkedin.com/in/dewala-leonard/" TargetMode="External"/><Relationship Id="rId460" Type="http://schemas.openxmlformats.org/officeDocument/2006/relationships/hyperlink" Target="https://www.linkedin.com/in/rajesh-dobariya" TargetMode="External"/><Relationship Id="rId698" Type="http://schemas.openxmlformats.org/officeDocument/2006/relationships/hyperlink" Target="https://www.linkedin.com/in/cianodowd1/" TargetMode="External"/><Relationship Id="rId919" Type="http://schemas.openxmlformats.org/officeDocument/2006/relationships/hyperlink" Target="https://www.linkedin.com/in/teguhsaktipermadi" TargetMode="External"/><Relationship Id="rId1090" Type="http://schemas.openxmlformats.org/officeDocument/2006/relationships/hyperlink" Target="https://www.google.com/url?q=https://www.linkedin.com/in/yayan-kuswara-a23b50a9/&amp;sa=D&amp;ust=1585802058068000&amp;usg=AFQjCNGJCFYp_UvrUyE7QTj261ltFSotVw" TargetMode="External"/><Relationship Id="rId1104" Type="http://schemas.openxmlformats.org/officeDocument/2006/relationships/hyperlink" Target="https://www.google.com/url?q=https://www.linkedin.com/in/raseena-thanveer-86600b32/&amp;sa=D&amp;ust=1585802058082000&amp;usg=AFQjCNEv6AK5mFZR-0VrqVo3d6Jo_nMmEQ" TargetMode="External"/><Relationship Id="rId48" Type="http://schemas.openxmlformats.org/officeDocument/2006/relationships/hyperlink" Target="https://www.linkedin.com/in/joicegumala/" TargetMode="External"/><Relationship Id="rId113" Type="http://schemas.openxmlformats.org/officeDocument/2006/relationships/hyperlink" Target="https://www.linkedin.com/in/aswinprasetyo/" TargetMode="External"/><Relationship Id="rId320" Type="http://schemas.openxmlformats.org/officeDocument/2006/relationships/hyperlink" Target="https://www.linkedin.com/in/arunphilips/" TargetMode="External"/><Relationship Id="rId558" Type="http://schemas.openxmlformats.org/officeDocument/2006/relationships/hyperlink" Target="https://www.linkedin.com/in/felicia-julin-7930831a7/" TargetMode="External"/><Relationship Id="rId765" Type="http://schemas.openxmlformats.org/officeDocument/2006/relationships/hyperlink" Target="https://linkedin.com/in/elina.belova" TargetMode="External"/><Relationship Id="rId972" Type="http://schemas.openxmlformats.org/officeDocument/2006/relationships/hyperlink" Target="http://www.linkedin.com/in/chichi-morales-57445046" TargetMode="External"/><Relationship Id="rId1188" Type="http://schemas.openxmlformats.org/officeDocument/2006/relationships/hyperlink" Target="https://www.linkedin.com/in/gazza-syahmega/" TargetMode="External"/><Relationship Id="rId197" Type="http://schemas.openxmlformats.org/officeDocument/2006/relationships/hyperlink" Target="http://www.linkedin.com/in/reginawiriadinata" TargetMode="External"/><Relationship Id="rId418" Type="http://schemas.openxmlformats.org/officeDocument/2006/relationships/hyperlink" Target="http://99.co/" TargetMode="External"/><Relationship Id="rId625" Type="http://schemas.openxmlformats.org/officeDocument/2006/relationships/hyperlink" Target="https://www.linkedin.com/in/achmadfeisal/" TargetMode="External"/><Relationship Id="rId832" Type="http://schemas.openxmlformats.org/officeDocument/2006/relationships/hyperlink" Target="https://www.linkedin.com/in/sylviahercahyani/" TargetMode="External"/><Relationship Id="rId1048" Type="http://schemas.openxmlformats.org/officeDocument/2006/relationships/hyperlink" Target="https://www.linkedin.com/in/bregaswirotomo/" TargetMode="External"/><Relationship Id="rId264" Type="http://schemas.openxmlformats.org/officeDocument/2006/relationships/hyperlink" Target="https://www.linkedin.com/in/yxtay/" TargetMode="External"/><Relationship Id="rId471" Type="http://schemas.openxmlformats.org/officeDocument/2006/relationships/hyperlink" Target="http://www.linkedin.com/in/lilik-eko-pramono-474304/" TargetMode="External"/><Relationship Id="rId1115" Type="http://schemas.openxmlformats.org/officeDocument/2006/relationships/hyperlink" Target="https://www.google.com/url?q=http://linkedin.com/in/omar-gepiga-55b0a71&amp;sa=D&amp;ust=1585802058097000&amp;usg=AFQjCNG1Bm5oTe9nEsHQyy5MUgVHq93Fog" TargetMode="External"/><Relationship Id="rId59" Type="http://schemas.openxmlformats.org/officeDocument/2006/relationships/hyperlink" Target="https://www.linkedin.com/in/mohineeshy/" TargetMode="External"/><Relationship Id="rId124" Type="http://schemas.openxmlformats.org/officeDocument/2006/relationships/hyperlink" Target="https://www.linkedin.com/in/geetha-vijeekumaran-b6a7b913b/" TargetMode="External"/><Relationship Id="rId569" Type="http://schemas.openxmlformats.org/officeDocument/2006/relationships/hyperlink" Target="https://www.linkedin.com/in/irfan-tripurwanta-b09152159/" TargetMode="External"/><Relationship Id="rId776" Type="http://schemas.openxmlformats.org/officeDocument/2006/relationships/hyperlink" Target="https://www.linkedin.com/in/ndclercq/" TargetMode="External"/><Relationship Id="rId983" Type="http://schemas.openxmlformats.org/officeDocument/2006/relationships/hyperlink" Target="https://www.linkedin.com/in/adhitya-nugraha-b1b60055/" TargetMode="External"/><Relationship Id="rId1199" Type="http://schemas.openxmlformats.org/officeDocument/2006/relationships/hyperlink" Target="https://www.linkedin.com/in/abdul-rasyid-97004886/" TargetMode="External"/><Relationship Id="rId331" Type="http://schemas.openxmlformats.org/officeDocument/2006/relationships/hyperlink" Target="https://www.linkedin.com/in/atep/" TargetMode="External"/><Relationship Id="rId429" Type="http://schemas.openxmlformats.org/officeDocument/2006/relationships/hyperlink" Target="https://www.linkedin.com/in/ferry-adi-wijayanto-97599465/" TargetMode="External"/><Relationship Id="rId636" Type="http://schemas.openxmlformats.org/officeDocument/2006/relationships/hyperlink" Target="https://www.linkedin.com/in/markayres/" TargetMode="External"/><Relationship Id="rId1059" Type="http://schemas.openxmlformats.org/officeDocument/2006/relationships/hyperlink" Target="https://www.google.com/url?q=https://www.linkedin.com/in/joseph-correa-a7852a82/&amp;sa=D&amp;ust=1585802058035000&amp;usg=AFQjCNHPkSs4Jb8I1N4mh1RuQTeiSPSM_w" TargetMode="External"/><Relationship Id="rId843" Type="http://schemas.openxmlformats.org/officeDocument/2006/relationships/hyperlink" Target="https://www.linkedin.com/in/vikna-karthiga-mageyandran/" TargetMode="External"/><Relationship Id="rId1126" Type="http://schemas.openxmlformats.org/officeDocument/2006/relationships/hyperlink" Target="https://www.google.com/url?q=https://www.linkedin.com/in/angelia-ma/&amp;sa=D&amp;ust=1585802058109000&amp;usg=AFQjCNF--WdW3ec5LdRXXlEbo1l0va88tg" TargetMode="External"/><Relationship Id="rId275" Type="http://schemas.openxmlformats.org/officeDocument/2006/relationships/hyperlink" Target="https://www.linkedin.com/in/nanda-kartika-ayu-56470615b/?msgConversationId=6649268630813011968&amp;msgOverlay=true&amp;senderId=annisa-rafida-laili-7704131a3" TargetMode="External"/><Relationship Id="rId482" Type="http://schemas.openxmlformats.org/officeDocument/2006/relationships/hyperlink" Target="https://www.linkedin.com/in/muhammad-luky-guratmana-601916151" TargetMode="External"/><Relationship Id="rId703" Type="http://schemas.openxmlformats.org/officeDocument/2006/relationships/hyperlink" Target="https://www.linkedin.com/in/wilsonowpmp/" TargetMode="External"/><Relationship Id="rId910" Type="http://schemas.openxmlformats.org/officeDocument/2006/relationships/hyperlink" Target="https://www.linkedin.com/in/kaustuv-mohapatra/" TargetMode="External"/><Relationship Id="rId135" Type="http://schemas.openxmlformats.org/officeDocument/2006/relationships/hyperlink" Target="https://www.linkedin.com/in/edbert-swidoyono-a4650136/" TargetMode="External"/><Relationship Id="rId342" Type="http://schemas.openxmlformats.org/officeDocument/2006/relationships/hyperlink" Target="https://www.linkedin.com/in/marcus-tioh-3a6b51a/" TargetMode="External"/><Relationship Id="rId787" Type="http://schemas.openxmlformats.org/officeDocument/2006/relationships/hyperlink" Target="https://www.linkedin.com/in/muhammad-haekal-sena-akbar/" TargetMode="External"/><Relationship Id="rId994" Type="http://schemas.openxmlformats.org/officeDocument/2006/relationships/hyperlink" Target="https://www.linkedin.com/in/jeksontua/" TargetMode="External"/><Relationship Id="rId202" Type="http://schemas.openxmlformats.org/officeDocument/2006/relationships/hyperlink" Target="https://www.linkedin.com/in/nishantsaxena09/" TargetMode="External"/><Relationship Id="rId647" Type="http://schemas.openxmlformats.org/officeDocument/2006/relationships/hyperlink" Target="http://www.linkedin.com/in/jeremy-joseph-hanniel" TargetMode="External"/><Relationship Id="rId854" Type="http://schemas.openxmlformats.org/officeDocument/2006/relationships/hyperlink" Target="http://www.linkedin.com/in/smita-tiwary/" TargetMode="External"/><Relationship Id="rId286" Type="http://schemas.openxmlformats.org/officeDocument/2006/relationships/hyperlink" Target="https://www.linkedin.com/in/itjokrosetio/" TargetMode="External"/><Relationship Id="rId493" Type="http://schemas.openxmlformats.org/officeDocument/2006/relationships/hyperlink" Target="https://www.linkedin.com/in/cindy-julianti-nurul-putri-863133b0/" TargetMode="External"/><Relationship Id="rId507" Type="http://schemas.openxmlformats.org/officeDocument/2006/relationships/hyperlink" Target="http://linkedin.com/in/nabilagfar" TargetMode="External"/><Relationship Id="rId714" Type="http://schemas.openxmlformats.org/officeDocument/2006/relationships/hyperlink" Target="https://www.linkedin.com/in/bschmittling/" TargetMode="External"/><Relationship Id="rId921" Type="http://schemas.openxmlformats.org/officeDocument/2006/relationships/hyperlink" Target="https://www.linkedin.com/in/richardloat/" TargetMode="External"/><Relationship Id="rId1137" Type="http://schemas.openxmlformats.org/officeDocument/2006/relationships/hyperlink" Target="https://www.google.com/url?q=https://www.linkedin.com/in/patricia-paredes-ph/&amp;sa=D&amp;ust=1585802058118000&amp;usg=AFQjCNF4dI0CaqSQExWuZyAYAj4-oSSwrQ" TargetMode="External"/><Relationship Id="rId50" Type="http://schemas.openxmlformats.org/officeDocument/2006/relationships/hyperlink" Target="http://linkedin.com/in/joytay" TargetMode="External"/><Relationship Id="rId146" Type="http://schemas.openxmlformats.org/officeDocument/2006/relationships/hyperlink" Target="http://umroh.com/" TargetMode="External"/><Relationship Id="rId353" Type="http://schemas.openxmlformats.org/officeDocument/2006/relationships/hyperlink" Target="https://www.linkedin.com/in/fikrya-dzikrillya-queenzharean-a03833121" TargetMode="External"/><Relationship Id="rId560" Type="http://schemas.openxmlformats.org/officeDocument/2006/relationships/hyperlink" Target="https://www.linkedin.com/in/fajar-hardipradana-a96704116" TargetMode="External"/><Relationship Id="rId798" Type="http://schemas.openxmlformats.org/officeDocument/2006/relationships/hyperlink" Target="https://linkedin.com/in/sanphatw" TargetMode="External"/><Relationship Id="rId1190" Type="http://schemas.openxmlformats.org/officeDocument/2006/relationships/hyperlink" Target="https://www.linkedin.com/in/bangkitpermana/" TargetMode="External"/><Relationship Id="rId1204" Type="http://schemas.openxmlformats.org/officeDocument/2006/relationships/hyperlink" Target="https://www.linkedin.com/in/dwi-septha-kurniawan-330106178/" TargetMode="External"/><Relationship Id="rId213" Type="http://schemas.openxmlformats.org/officeDocument/2006/relationships/hyperlink" Target="https://www.linkedin.com/in/sheryelteng/" TargetMode="External"/><Relationship Id="rId420" Type="http://schemas.openxmlformats.org/officeDocument/2006/relationships/hyperlink" Target="https://www.linkedin.com/mwlite/in/abu-hanifah" TargetMode="External"/><Relationship Id="rId658" Type="http://schemas.openxmlformats.org/officeDocument/2006/relationships/hyperlink" Target="https://www.linkedin.com/in/mokresh/" TargetMode="External"/><Relationship Id="rId865" Type="http://schemas.openxmlformats.org/officeDocument/2006/relationships/hyperlink" Target="https://www.linkedin.com/in/ashleylsy/" TargetMode="External"/><Relationship Id="rId1050" Type="http://schemas.openxmlformats.org/officeDocument/2006/relationships/hyperlink" Target="http://grivy.com/" TargetMode="External"/><Relationship Id="rId297" Type="http://schemas.openxmlformats.org/officeDocument/2006/relationships/hyperlink" Target="https://www.linkedin.com/in/anastasia-gretti-schender-1a299b70/" TargetMode="External"/><Relationship Id="rId518" Type="http://schemas.openxmlformats.org/officeDocument/2006/relationships/hyperlink" Target="https://www.linkedin.com/in/anharrypulungan/" TargetMode="External"/><Relationship Id="rId725" Type="http://schemas.openxmlformats.org/officeDocument/2006/relationships/hyperlink" Target="https://id.linkedin.com/in/heri-wahyudianto" TargetMode="External"/><Relationship Id="rId932" Type="http://schemas.openxmlformats.org/officeDocument/2006/relationships/hyperlink" Target="https://www.linkedin.com/in/seanchengyh/" TargetMode="External"/><Relationship Id="rId1148" Type="http://schemas.openxmlformats.org/officeDocument/2006/relationships/hyperlink" Target="https://www.linkedin.com/in/maystya/" TargetMode="External"/><Relationship Id="rId157" Type="http://schemas.openxmlformats.org/officeDocument/2006/relationships/hyperlink" Target="https://www.linkedin.com/in/adrianasaleh/" TargetMode="External"/><Relationship Id="rId364" Type="http://schemas.openxmlformats.org/officeDocument/2006/relationships/hyperlink" Target="https://www.linkedin.com/in/karannathani/" TargetMode="External"/><Relationship Id="rId1008" Type="http://schemas.openxmlformats.org/officeDocument/2006/relationships/hyperlink" Target="https://www.linkedin.com/in/yalezwong" TargetMode="External"/><Relationship Id="rId61" Type="http://schemas.openxmlformats.org/officeDocument/2006/relationships/hyperlink" Target="https://www.linkedin.com/in/lorenzo-buiron-66890765/" TargetMode="External"/><Relationship Id="rId571" Type="http://schemas.openxmlformats.org/officeDocument/2006/relationships/hyperlink" Target="http://c3.ai/" TargetMode="External"/><Relationship Id="rId669" Type="http://schemas.openxmlformats.org/officeDocument/2006/relationships/hyperlink" Target="https://www.linkedin.com/in/taro-askar-02915413a" TargetMode="External"/><Relationship Id="rId876" Type="http://schemas.openxmlformats.org/officeDocument/2006/relationships/hyperlink" Target="https://www.linkedin.com/in/mugdhaagrawal/" TargetMode="External"/><Relationship Id="rId19" Type="http://schemas.openxmlformats.org/officeDocument/2006/relationships/hyperlink" Target="https://www.linkedin.com/in/loh-sharon/" TargetMode="External"/><Relationship Id="rId224" Type="http://schemas.openxmlformats.org/officeDocument/2006/relationships/hyperlink" Target="https://www.linkedin.com/in/wilson-lienaldi-7a662917a/" TargetMode="External"/><Relationship Id="rId431" Type="http://schemas.openxmlformats.org/officeDocument/2006/relationships/hyperlink" Target="https://www.linkedin.com/in/vhyshnawi/" TargetMode="External"/><Relationship Id="rId529" Type="http://schemas.openxmlformats.org/officeDocument/2006/relationships/hyperlink" Target="https://www.linkedin.com/in/nino-gultom-51752012a/" TargetMode="External"/><Relationship Id="rId736" Type="http://schemas.openxmlformats.org/officeDocument/2006/relationships/hyperlink" Target="https://www.linkedin.com/in/racheltio/" TargetMode="External"/><Relationship Id="rId1061" Type="http://schemas.openxmlformats.org/officeDocument/2006/relationships/hyperlink" Target="https://www.google.com/url?q=https://www.linkedin.com/in/wiljan-melad/&amp;sa=D&amp;ust=1585802058039000&amp;usg=AFQjCNE6StkYWRGWJe5GAY4Pl58M24lZhQ" TargetMode="External"/><Relationship Id="rId1159" Type="http://schemas.openxmlformats.org/officeDocument/2006/relationships/hyperlink" Target="https://www.linkedin.com/in/febbywiramihardja/" TargetMode="External"/><Relationship Id="rId168" Type="http://schemas.openxmlformats.org/officeDocument/2006/relationships/hyperlink" Target="https://id.linkedin.com/in/evelinalarisasidharta" TargetMode="External"/><Relationship Id="rId943" Type="http://schemas.openxmlformats.org/officeDocument/2006/relationships/hyperlink" Target="https://www.linkedin.com/in/panicha-noophet-20a99b137/" TargetMode="External"/><Relationship Id="rId1019" Type="http://schemas.openxmlformats.org/officeDocument/2006/relationships/hyperlink" Target="http://www.linkedin.com/in/jeg26" TargetMode="External"/><Relationship Id="rId72" Type="http://schemas.openxmlformats.org/officeDocument/2006/relationships/hyperlink" Target="https://www.linkedin.com/in/herihakim/" TargetMode="External"/><Relationship Id="rId375" Type="http://schemas.openxmlformats.org/officeDocument/2006/relationships/hyperlink" Target="https://www.linkedin.com/in/choong-hong-cheng/" TargetMode="External"/><Relationship Id="rId582" Type="http://schemas.openxmlformats.org/officeDocument/2006/relationships/hyperlink" Target="https://www.linkedin.com/in/reny-ajeng/" TargetMode="External"/><Relationship Id="rId803" Type="http://schemas.openxmlformats.org/officeDocument/2006/relationships/hyperlink" Target="https://www.linkedin.com/in/tarun-popat/" TargetMode="External"/><Relationship Id="rId3" Type="http://schemas.openxmlformats.org/officeDocument/2006/relationships/hyperlink" Target="https://www.linkedin.com/in/katieleeash/" TargetMode="External"/><Relationship Id="rId235" Type="http://schemas.openxmlformats.org/officeDocument/2006/relationships/hyperlink" Target="https://linkedin.com/in/sayagilangpratama" TargetMode="External"/><Relationship Id="rId442" Type="http://schemas.openxmlformats.org/officeDocument/2006/relationships/hyperlink" Target="https://www.linkedin.com/in/alfredpatric/" TargetMode="External"/><Relationship Id="rId887" Type="http://schemas.openxmlformats.org/officeDocument/2006/relationships/hyperlink" Target="https://www.linkedin.com/in/kajani/" TargetMode="External"/><Relationship Id="rId1072" Type="http://schemas.openxmlformats.org/officeDocument/2006/relationships/hyperlink" Target="https://www.google.com/url?q=https://www.linkedin.com/in/afsar-ali-3465a556/&amp;sa=D&amp;ust=1585802058049000&amp;usg=AFQjCNEyfxoFPPc5Z3X2Crkm0Qxh31Pwpg" TargetMode="External"/><Relationship Id="rId302" Type="http://schemas.openxmlformats.org/officeDocument/2006/relationships/hyperlink" Target="https://www.linkedin.com/in/boazquant" TargetMode="External"/><Relationship Id="rId747" Type="http://schemas.openxmlformats.org/officeDocument/2006/relationships/hyperlink" Target="https://my.linkedin.com/in/samongkw" TargetMode="External"/><Relationship Id="rId954" Type="http://schemas.openxmlformats.org/officeDocument/2006/relationships/hyperlink" Target="https://www.linkedin.com/in/diana-uy-chua-82935a35/" TargetMode="External"/><Relationship Id="rId83" Type="http://schemas.openxmlformats.org/officeDocument/2006/relationships/hyperlink" Target="https://www.linkedin.com/in/gaurang-patel-0a6b9a15/" TargetMode="External"/><Relationship Id="rId179" Type="http://schemas.openxmlformats.org/officeDocument/2006/relationships/hyperlink" Target="https://www.linkedin.com/in/adeagusputra/" TargetMode="External"/><Relationship Id="rId386" Type="http://schemas.openxmlformats.org/officeDocument/2006/relationships/hyperlink" Target="https://www.linkedin.com/in/agungmartalingga/" TargetMode="External"/><Relationship Id="rId593" Type="http://schemas.openxmlformats.org/officeDocument/2006/relationships/hyperlink" Target="https://www.linkedin.com/in/lex-van-lynden-8b516b49/" TargetMode="External"/><Relationship Id="rId607" Type="http://schemas.openxmlformats.org/officeDocument/2006/relationships/hyperlink" Target="https://www.linkedin.com/in/mukhtarsayedsaleh/" TargetMode="External"/><Relationship Id="rId814" Type="http://schemas.openxmlformats.org/officeDocument/2006/relationships/hyperlink" Target="https://www.linkedin.com/in/karina-novianti-putri-21248b157/" TargetMode="External"/><Relationship Id="rId246" Type="http://schemas.openxmlformats.org/officeDocument/2006/relationships/hyperlink" Target="https://www.linkedin.com/in/owenkosman/" TargetMode="External"/><Relationship Id="rId453" Type="http://schemas.openxmlformats.org/officeDocument/2006/relationships/hyperlink" Target="https://www.linkedin.com/in/ananda-wijaya-2428637b/" TargetMode="External"/><Relationship Id="rId660" Type="http://schemas.openxmlformats.org/officeDocument/2006/relationships/hyperlink" Target="https://www.linkedin.com/in/marionatalao/" TargetMode="External"/><Relationship Id="rId898" Type="http://schemas.openxmlformats.org/officeDocument/2006/relationships/hyperlink" Target="http://linkedin.com/in/tiffany-dwi-putri-1b411095" TargetMode="External"/><Relationship Id="rId1083" Type="http://schemas.openxmlformats.org/officeDocument/2006/relationships/hyperlink" Target="https://www.google.com/url?q=https://www.linkedin.com/in/luis-diokno-3b635a129/&amp;sa=D&amp;ust=1585802058061000&amp;usg=AFQjCNH7VsfQvUwNDb5PH-VRcQdxvsDkfA" TargetMode="External"/><Relationship Id="rId106" Type="http://schemas.openxmlformats.org/officeDocument/2006/relationships/hyperlink" Target="https://www.linkedin.com/in/vinodini-elanggovan-a94013121/" TargetMode="External"/><Relationship Id="rId313" Type="http://schemas.openxmlformats.org/officeDocument/2006/relationships/hyperlink" Target="https://www.linkedin.com/in/oceandiveloper/" TargetMode="External"/><Relationship Id="rId758" Type="http://schemas.openxmlformats.org/officeDocument/2006/relationships/hyperlink" Target="https://www.linkedin.com/in/joel-tan-02417a14b/" TargetMode="External"/><Relationship Id="rId965" Type="http://schemas.openxmlformats.org/officeDocument/2006/relationships/hyperlink" Target="https://www.linkedin.com/in/sigitadinugroho/" TargetMode="External"/><Relationship Id="rId1150" Type="http://schemas.openxmlformats.org/officeDocument/2006/relationships/hyperlink" Target="https://www.linkedin.com/in/iparameswari/" TargetMode="External"/><Relationship Id="rId10" Type="http://schemas.openxmlformats.org/officeDocument/2006/relationships/hyperlink" Target="https://www.linkedin.com/in/sarthak-jain24/" TargetMode="External"/><Relationship Id="rId94" Type="http://schemas.openxmlformats.org/officeDocument/2006/relationships/hyperlink" Target="http://linkedin.com/in/tanakakenneth" TargetMode="External"/><Relationship Id="rId397" Type="http://schemas.openxmlformats.org/officeDocument/2006/relationships/hyperlink" Target="http://pigijo.com/" TargetMode="External"/><Relationship Id="rId520" Type="http://schemas.openxmlformats.org/officeDocument/2006/relationships/hyperlink" Target="https://www.linkedin.com/in/boonteo" TargetMode="External"/><Relationship Id="rId618" Type="http://schemas.openxmlformats.org/officeDocument/2006/relationships/hyperlink" Target="https://www.linkedin.com/in/christianto-leonard-80039267" TargetMode="External"/><Relationship Id="rId825" Type="http://schemas.openxmlformats.org/officeDocument/2006/relationships/hyperlink" Target="https://www.linkedin.com/in/demfna-maestre-osorio-646886156/" TargetMode="External"/><Relationship Id="rId257" Type="http://schemas.openxmlformats.org/officeDocument/2006/relationships/hyperlink" Target="https://www.linkedin.com/in/elston-yee-66663830/" TargetMode="External"/><Relationship Id="rId464" Type="http://schemas.openxmlformats.org/officeDocument/2006/relationships/hyperlink" Target="https://www.linkedin.com/in/kevin-purnama-8a5352128/" TargetMode="External"/><Relationship Id="rId1010" Type="http://schemas.openxmlformats.org/officeDocument/2006/relationships/hyperlink" Target="https://www.linkedin.com/in/punit-pratap-singh-1866a3163/" TargetMode="External"/><Relationship Id="rId1094" Type="http://schemas.openxmlformats.org/officeDocument/2006/relationships/hyperlink" Target="https://www.google.com/url?q=https://www.linkedin.com/in/luthfifr/&amp;sa=D&amp;ust=1585802058071000&amp;usg=AFQjCNFYQDrINkg6mtCkilpxPQfLEHDe5A" TargetMode="External"/><Relationship Id="rId1108" Type="http://schemas.openxmlformats.org/officeDocument/2006/relationships/hyperlink" Target="https://www.google.com/url?q=https://www.linkedin.com/in/wilkinsonalexander/&amp;sa=D&amp;ust=1585802058087000&amp;usg=AFQjCNG7w187YwL0omu1Po_CGNSJYXTdMA" TargetMode="External"/><Relationship Id="rId117" Type="http://schemas.openxmlformats.org/officeDocument/2006/relationships/hyperlink" Target="https://www.linkedin.com/in/cl%C3%A9ment-le-moigne-09063237/" TargetMode="External"/><Relationship Id="rId671" Type="http://schemas.openxmlformats.org/officeDocument/2006/relationships/hyperlink" Target="http://www.linkedin.com/in/ayu-anisa-hanggraini-1b1328173" TargetMode="External"/><Relationship Id="rId769" Type="http://schemas.openxmlformats.org/officeDocument/2006/relationships/hyperlink" Target="https://www.linkedin.com/in/rasikasoni/" TargetMode="External"/><Relationship Id="rId976" Type="http://schemas.openxmlformats.org/officeDocument/2006/relationships/hyperlink" Target="http://www.linkedin.com/in/vtvinitha" TargetMode="External"/><Relationship Id="rId324" Type="http://schemas.openxmlformats.org/officeDocument/2006/relationships/hyperlink" Target="https://www.linkedin.com/in/orestis-katsoulas-a2a94978/" TargetMode="External"/><Relationship Id="rId531" Type="http://schemas.openxmlformats.org/officeDocument/2006/relationships/hyperlink" Target="https://www.linkedin.com/in/andre-akbar-kurnia/" TargetMode="External"/><Relationship Id="rId629" Type="http://schemas.openxmlformats.org/officeDocument/2006/relationships/hyperlink" Target="https://www.linkedin.com/in/nikhil-thakkar-8902224b/" TargetMode="External"/><Relationship Id="rId1161" Type="http://schemas.openxmlformats.org/officeDocument/2006/relationships/hyperlink" Target="https://www.linkedin.com/in/wisnu-tri-febrianto-72227788/" TargetMode="External"/><Relationship Id="rId836" Type="http://schemas.openxmlformats.org/officeDocument/2006/relationships/hyperlink" Target="https://www.linkedin.com/in/kimyongng/" TargetMode="External"/><Relationship Id="rId1021" Type="http://schemas.openxmlformats.org/officeDocument/2006/relationships/hyperlink" Target="https://www.linkedin.com/in/niken-hidyarni/" TargetMode="External"/><Relationship Id="rId1119" Type="http://schemas.openxmlformats.org/officeDocument/2006/relationships/hyperlink" Target="https://www.google.com/url?q=https://www.linkedin.com/in/chee-weng-chiang-b9507410&amp;sa=D&amp;ust=1585802058102000&amp;usg=AFQjCNEwaF_NmNI-G-ekIhxHoX8-ngPCdQ" TargetMode="External"/><Relationship Id="rId903" Type="http://schemas.openxmlformats.org/officeDocument/2006/relationships/hyperlink" Target="https://www.linkedin.com/in/likman/" TargetMode="External"/><Relationship Id="rId32" Type="http://schemas.openxmlformats.org/officeDocument/2006/relationships/hyperlink" Target="https://www.linkedin.com/in/raychelbalatero" TargetMode="External"/><Relationship Id="rId181" Type="http://schemas.openxmlformats.org/officeDocument/2006/relationships/hyperlink" Target="https://www.linkedin.com/in/raja94" TargetMode="External"/><Relationship Id="rId279" Type="http://schemas.openxmlformats.org/officeDocument/2006/relationships/hyperlink" Target="https://www.linkedin.com/in/sompong-olarnthatchanant-a0928295/" TargetMode="External"/><Relationship Id="rId486" Type="http://schemas.openxmlformats.org/officeDocument/2006/relationships/hyperlink" Target="https://www.linkedin.com/in/eugeniaclara/" TargetMode="External"/><Relationship Id="rId693" Type="http://schemas.openxmlformats.org/officeDocument/2006/relationships/hyperlink" Target="https://www.linkedin.com/in/cendy-bill-clinton" TargetMode="External"/><Relationship Id="rId139" Type="http://schemas.openxmlformats.org/officeDocument/2006/relationships/hyperlink" Target="https://www.linkedin.com/in/preedomadaran/" TargetMode="External"/><Relationship Id="rId346" Type="http://schemas.openxmlformats.org/officeDocument/2006/relationships/hyperlink" Target="https://www.linkedin.com/in/linus-chen-07948227/" TargetMode="External"/><Relationship Id="rId553" Type="http://schemas.openxmlformats.org/officeDocument/2006/relationships/hyperlink" Target="https://www.linkedin.com/in/jarviceleres/" TargetMode="External"/><Relationship Id="rId760" Type="http://schemas.openxmlformats.org/officeDocument/2006/relationships/hyperlink" Target="https://www.linkedin.com/in/julien-anseau-600b3627/" TargetMode="External"/><Relationship Id="rId998" Type="http://schemas.openxmlformats.org/officeDocument/2006/relationships/hyperlink" Target="https://www.linkedin.com/in/elissa-vananda-37a78b110/" TargetMode="External"/><Relationship Id="rId1183" Type="http://schemas.openxmlformats.org/officeDocument/2006/relationships/hyperlink" Target="https://www.linkedin.com/in/abshararyun/" TargetMode="External"/><Relationship Id="rId206" Type="http://schemas.openxmlformats.org/officeDocument/2006/relationships/hyperlink" Target="http://ibunda.id/" TargetMode="External"/><Relationship Id="rId413" Type="http://schemas.openxmlformats.org/officeDocument/2006/relationships/hyperlink" Target="http://linkedin.com/priska.hapsari" TargetMode="External"/><Relationship Id="rId858" Type="http://schemas.openxmlformats.org/officeDocument/2006/relationships/hyperlink" Target="https://www.linkedin.com/in/sarah-jane-pollack-88872028/" TargetMode="External"/><Relationship Id="rId1043" Type="http://schemas.openxmlformats.org/officeDocument/2006/relationships/hyperlink" Target="https://www.linkedin.com/in/sheilla-quinita/" TargetMode="External"/><Relationship Id="rId620" Type="http://schemas.openxmlformats.org/officeDocument/2006/relationships/hyperlink" Target="https://www.linkedin.com/in/aziz-zainudin-2293bb10a/" TargetMode="External"/><Relationship Id="rId718" Type="http://schemas.openxmlformats.org/officeDocument/2006/relationships/hyperlink" Target="http://www.linkedin.com/in/christopher-lee-63578026" TargetMode="External"/><Relationship Id="rId925" Type="http://schemas.openxmlformats.org/officeDocument/2006/relationships/hyperlink" Target="http://neuonwoods.com/" TargetMode="External"/><Relationship Id="rId1110" Type="http://schemas.openxmlformats.org/officeDocument/2006/relationships/hyperlink" Target="https://www.google.com/url?q=https://www.linkedin.com/in/ritu-kukreja-98298a3/&amp;sa=D&amp;ust=1585802058092000&amp;usg=AFQjCNGFRbKsm3oLyYrc3tGax-HxNpFAqQ" TargetMode="External"/><Relationship Id="rId1208" Type="http://schemas.openxmlformats.org/officeDocument/2006/relationships/hyperlink" Target="https://www.linkedin.com/in/jumiaty-oclivinda-144338103/" TargetMode="External"/><Relationship Id="rId54" Type="http://schemas.openxmlformats.org/officeDocument/2006/relationships/hyperlink" Target="https://www.linkedin.com/in/jasper-wong-b6680a45/" TargetMode="External"/><Relationship Id="rId270" Type="http://schemas.openxmlformats.org/officeDocument/2006/relationships/hyperlink" Target="https://www.linkedin.com/in/ageng-prabandaru-2a609614b/" TargetMode="External"/><Relationship Id="rId130" Type="http://schemas.openxmlformats.org/officeDocument/2006/relationships/hyperlink" Target="http://umroh.com/" TargetMode="External"/><Relationship Id="rId368" Type="http://schemas.openxmlformats.org/officeDocument/2006/relationships/hyperlink" Target="https://www.linkedin.com/in/evangelinepoon/" TargetMode="External"/><Relationship Id="rId575" Type="http://schemas.openxmlformats.org/officeDocument/2006/relationships/hyperlink" Target="https://www.linkedin.com/in/prabudandy-yudhanto-75172265" TargetMode="External"/><Relationship Id="rId782" Type="http://schemas.openxmlformats.org/officeDocument/2006/relationships/hyperlink" Target="https://www.linkedin.com/in/anitawinata" TargetMode="External"/><Relationship Id="rId228" Type="http://schemas.openxmlformats.org/officeDocument/2006/relationships/hyperlink" Target="https://www.linkedin.com/in/somnath-asati-49783466/" TargetMode="External"/><Relationship Id="rId435" Type="http://schemas.openxmlformats.org/officeDocument/2006/relationships/hyperlink" Target="http://cermati.com/" TargetMode="External"/><Relationship Id="rId642" Type="http://schemas.openxmlformats.org/officeDocument/2006/relationships/hyperlink" Target="https://www.linkedin.com/in/alvaroquesadaes/" TargetMode="External"/><Relationship Id="rId1065" Type="http://schemas.openxmlformats.org/officeDocument/2006/relationships/hyperlink" Target="https://www.google.com/url?q=https://in.linkedin.com/in/tarungupta15&amp;sa=D&amp;ust=1585802058042000&amp;usg=AFQjCNFGVxm-jcNKd8F4fPYH1Rpm6Vy5Qg" TargetMode="External"/><Relationship Id="rId502" Type="http://schemas.openxmlformats.org/officeDocument/2006/relationships/hyperlink" Target="https://www.linkedin.com/in/aditya-luhur-416403b8" TargetMode="External"/><Relationship Id="rId947" Type="http://schemas.openxmlformats.org/officeDocument/2006/relationships/hyperlink" Target="https://www.linkedin.com/in/rezkyatinnov/" TargetMode="External"/><Relationship Id="rId1132" Type="http://schemas.openxmlformats.org/officeDocument/2006/relationships/hyperlink" Target="https://www.google.com/url?q=https://www.linkedin.com/in/hldseptiani/&amp;sa=D&amp;ust=1585802058113000&amp;usg=AFQjCNGW7CbXCznWaJuooPTqRtQKvp1Xmg" TargetMode="External"/><Relationship Id="rId76" Type="http://schemas.openxmlformats.org/officeDocument/2006/relationships/hyperlink" Target="https://www.linkedin.com/in/yahya-fadhlulloh-al-fatih-a568a455/" TargetMode="External"/><Relationship Id="rId807" Type="http://schemas.openxmlformats.org/officeDocument/2006/relationships/hyperlink" Target="https://www.linkedin.com/in/sumitkumarsingh/" TargetMode="External"/><Relationship Id="rId292" Type="http://schemas.openxmlformats.org/officeDocument/2006/relationships/hyperlink" Target="https://www.linkedin.com/in/pamelasng/" TargetMode="External"/><Relationship Id="rId597" Type="http://schemas.openxmlformats.org/officeDocument/2006/relationships/hyperlink" Target="https://id.linkedin.com/in/livia-nathania-1b2119174" TargetMode="External"/><Relationship Id="rId152" Type="http://schemas.openxmlformats.org/officeDocument/2006/relationships/hyperlink" Target="https://www.linkedin.com/in/latikaisrani/" TargetMode="External"/><Relationship Id="rId457" Type="http://schemas.openxmlformats.org/officeDocument/2006/relationships/hyperlink" Target="https://www.linkedin.com/in/uray-desvianda-handoko-96746a147" TargetMode="External"/><Relationship Id="rId1087" Type="http://schemas.openxmlformats.org/officeDocument/2006/relationships/hyperlink" Target="https://www.google.com/url?q=https://www.linkedin.com/in/qpkwek/&amp;sa=D&amp;ust=1585802058065000&amp;usg=AFQjCNFqV246sKOO0xXMC3SsCzRMhqciUA" TargetMode="External"/><Relationship Id="rId664" Type="http://schemas.openxmlformats.org/officeDocument/2006/relationships/hyperlink" Target="https://www.linkedin.com/in/baguswnusihono/" TargetMode="External"/><Relationship Id="rId871" Type="http://schemas.openxmlformats.org/officeDocument/2006/relationships/hyperlink" Target="https://www.linkedin.com/in/huyen-trang-tran-tira-9baa7325/" TargetMode="External"/><Relationship Id="rId969" Type="http://schemas.openxmlformats.org/officeDocument/2006/relationships/hyperlink" Target="http://linkedin.com/in/gaurav-tandon-2197574a" TargetMode="External"/><Relationship Id="rId317" Type="http://schemas.openxmlformats.org/officeDocument/2006/relationships/hyperlink" Target="http://linkedin.com/in/robertorenaldysusanto" TargetMode="External"/><Relationship Id="rId524" Type="http://schemas.openxmlformats.org/officeDocument/2006/relationships/hyperlink" Target="https://www.linkedin.com/in/tanadet-chuangkeavisedd-b95bb659/" TargetMode="External"/><Relationship Id="rId731" Type="http://schemas.openxmlformats.org/officeDocument/2006/relationships/hyperlink" Target="https://www.linkedin.com/in/lily-krisniagasari-b5698333/" TargetMode="External"/><Relationship Id="rId1154" Type="http://schemas.openxmlformats.org/officeDocument/2006/relationships/hyperlink" Target="https://www.linkedin.com/in/kelly-xenia-77kx/" TargetMode="External"/><Relationship Id="rId98" Type="http://schemas.openxmlformats.org/officeDocument/2006/relationships/hyperlink" Target="https://www.linkedin.com/in/chitrangadathakore/" TargetMode="External"/><Relationship Id="rId829" Type="http://schemas.openxmlformats.org/officeDocument/2006/relationships/hyperlink" Target="http://linkedin.com/in/jee-lee-koh-99bba8152" TargetMode="External"/><Relationship Id="rId1014" Type="http://schemas.openxmlformats.org/officeDocument/2006/relationships/hyperlink" Target="https://www.linkedin.com/in/yosephine-dinar/" TargetMode="External"/><Relationship Id="rId25" Type="http://schemas.openxmlformats.org/officeDocument/2006/relationships/hyperlink" Target="https://www.linkedin.com/in/mirjam-nanlohy/" TargetMode="External"/><Relationship Id="rId174" Type="http://schemas.openxmlformats.org/officeDocument/2006/relationships/hyperlink" Target="https://www.linkedin.com/in/dindalutfiyah/" TargetMode="External"/><Relationship Id="rId381" Type="http://schemas.openxmlformats.org/officeDocument/2006/relationships/hyperlink" Target="http://linkedin.com/in/mickey-hc-shin-9a50395" TargetMode="External"/><Relationship Id="rId241" Type="http://schemas.openxmlformats.org/officeDocument/2006/relationships/hyperlink" Target="https://www.linkedin.com/in/richardtjokro/" TargetMode="External"/><Relationship Id="rId479" Type="http://schemas.openxmlformats.org/officeDocument/2006/relationships/hyperlink" Target="http://linkedin.com/in/fazla-rabby-b91720152" TargetMode="External"/><Relationship Id="rId686" Type="http://schemas.openxmlformats.org/officeDocument/2006/relationships/hyperlink" Target="https://www.linkedin.com/in/rizal-bahriawan-089a6291/" TargetMode="External"/><Relationship Id="rId893" Type="http://schemas.openxmlformats.org/officeDocument/2006/relationships/hyperlink" Target="https://www.linkedin.com/in/citra-putriana-basuki-189217114" TargetMode="External"/><Relationship Id="rId339" Type="http://schemas.openxmlformats.org/officeDocument/2006/relationships/hyperlink" Target="https://www.linkedin.com/in/anggara-pratama-06476844" TargetMode="External"/><Relationship Id="rId546" Type="http://schemas.openxmlformats.org/officeDocument/2006/relationships/hyperlink" Target="https://www.linkedin.com/in/zachariah-jones/" TargetMode="External"/><Relationship Id="rId753" Type="http://schemas.openxmlformats.org/officeDocument/2006/relationships/hyperlink" Target="https://www.linkedin.com/in/hamsarajan/" TargetMode="External"/><Relationship Id="rId1176" Type="http://schemas.openxmlformats.org/officeDocument/2006/relationships/hyperlink" Target="https://www.linkedin.com/in/louisa-pantangco-9144b551/" TargetMode="External"/><Relationship Id="rId101" Type="http://schemas.openxmlformats.org/officeDocument/2006/relationships/hyperlink" Target="https://www.linkedin.com/in/sumithra-mounika-yalamarthttps:/www.linkedin.com/in/sumithra-mounika-yalamarty-a7413757/y-a7413757/" TargetMode="External"/><Relationship Id="rId406" Type="http://schemas.openxmlformats.org/officeDocument/2006/relationships/hyperlink" Target="https://www.linkedin.com/in/aeyeong-lee-68740635/" TargetMode="External"/><Relationship Id="rId960" Type="http://schemas.openxmlformats.org/officeDocument/2006/relationships/hyperlink" Target="http://www.linkedin.com/in/naufalpramudya" TargetMode="External"/><Relationship Id="rId1036" Type="http://schemas.openxmlformats.org/officeDocument/2006/relationships/hyperlink" Target="https://www.linkedin.com/in/ravitirumalaraju/" TargetMode="External"/><Relationship Id="rId613" Type="http://schemas.openxmlformats.org/officeDocument/2006/relationships/hyperlink" Target="https://www.linkedin.com/in/ignatius-hermawan-32aa03164/" TargetMode="External"/><Relationship Id="rId820" Type="http://schemas.openxmlformats.org/officeDocument/2006/relationships/hyperlink" Target="https://www.linkedin.com/in/anushka-a-singh/" TargetMode="External"/><Relationship Id="rId918" Type="http://schemas.openxmlformats.org/officeDocument/2006/relationships/hyperlink" Target="http://linkedin.com/in/aries-sta-ana-bab961173" TargetMode="External"/><Relationship Id="rId1103" Type="http://schemas.openxmlformats.org/officeDocument/2006/relationships/hyperlink" Target="https://www.google.com/url?q=https://www.linkedin.com/in/galuh-dasalauda-94597318b/&amp;sa=D&amp;ust=1585802058081000&amp;usg=AFQjCNG9rl8nmV-4fwe4EPa4xGHQxzuB5Q" TargetMode="External"/><Relationship Id="rId47" Type="http://schemas.openxmlformats.org/officeDocument/2006/relationships/hyperlink" Target="https://www.linkedin.com/in/vasanthraju" TargetMode="External"/><Relationship Id="rId196" Type="http://schemas.openxmlformats.org/officeDocument/2006/relationships/hyperlink" Target="https://www.linkedin.com/in/chardaadytamapranada/" TargetMode="External"/><Relationship Id="rId263" Type="http://schemas.openxmlformats.org/officeDocument/2006/relationships/hyperlink" Target="https://www.linkedin.com/in/naveen-shanmugam-a0360a66/" TargetMode="External"/><Relationship Id="rId470" Type="http://schemas.openxmlformats.org/officeDocument/2006/relationships/hyperlink" Target="https://id.linkedin.com/in/gilang-p-nugraha-" TargetMode="External"/><Relationship Id="rId123" Type="http://schemas.openxmlformats.org/officeDocument/2006/relationships/hyperlink" Target="https://www.linkedin.com/in/konradhaedicke/" TargetMode="External"/><Relationship Id="rId330" Type="http://schemas.openxmlformats.org/officeDocument/2006/relationships/hyperlink" Target="https://www.linkedin.com/in/erisarviana/" TargetMode="External"/><Relationship Id="rId568" Type="http://schemas.openxmlformats.org/officeDocument/2006/relationships/hyperlink" Target="https://www.linkedin.com/in/ivan-albert/" TargetMode="External"/><Relationship Id="rId775" Type="http://schemas.openxmlformats.org/officeDocument/2006/relationships/hyperlink" Target="http://www.lightful.com/" TargetMode="External"/><Relationship Id="rId982" Type="http://schemas.openxmlformats.org/officeDocument/2006/relationships/hyperlink" Target="https://www.linkedin.com/in/harshsahay/" TargetMode="External"/><Relationship Id="rId1198" Type="http://schemas.openxmlformats.org/officeDocument/2006/relationships/hyperlink" Target="https://www.linkedin.com/in/siti-sriwati-sitorus-006466197/" TargetMode="External"/><Relationship Id="rId428" Type="http://schemas.openxmlformats.org/officeDocument/2006/relationships/hyperlink" Target="https://www.linkedin.com/in/fatihah-shuid-286b1058/" TargetMode="External"/><Relationship Id="rId635" Type="http://schemas.openxmlformats.org/officeDocument/2006/relationships/hyperlink" Target="https://www.linkedin.com/in/vadim-murmis-67946b14a/" TargetMode="External"/><Relationship Id="rId842" Type="http://schemas.openxmlformats.org/officeDocument/2006/relationships/hyperlink" Target="https://www.linkedin.com/in/yet-bing-82b94393/" TargetMode="External"/><Relationship Id="rId1058" Type="http://schemas.openxmlformats.org/officeDocument/2006/relationships/hyperlink" Target="https://www.google.com/url?q=http://www.linkedin.com/in/caidi&amp;sa=D&amp;ust=1585802058034000&amp;usg=AFQjCNHrcJbI8xliYMp6aAUJt_rKM6kIbQ" TargetMode="External"/><Relationship Id="rId702" Type="http://schemas.openxmlformats.org/officeDocument/2006/relationships/hyperlink" Target="https://www.linkedin.com/in/yankessler/" TargetMode="External"/><Relationship Id="rId1125" Type="http://schemas.openxmlformats.org/officeDocument/2006/relationships/hyperlink" Target="https://www.google.com/url?q=https://www.linkedin.com/in/gerald-wong-a794b9169/&amp;sa=D&amp;ust=1585802058108000&amp;usg=AFQjCNEMDCytkXdkMiPn_v-QmZwi18ojpg" TargetMode="External"/><Relationship Id="rId69" Type="http://schemas.openxmlformats.org/officeDocument/2006/relationships/hyperlink" Target="http://www.linkedin.com/in/eltonkuah" TargetMode="External"/><Relationship Id="rId285" Type="http://schemas.openxmlformats.org/officeDocument/2006/relationships/hyperlink" Target="https://www.linkedin.com/in/astrid-aulia-37244b171/" TargetMode="External"/><Relationship Id="rId492" Type="http://schemas.openxmlformats.org/officeDocument/2006/relationships/hyperlink" Target="https://www.linkedin.com/in/farislr/" TargetMode="External"/><Relationship Id="rId797" Type="http://schemas.openxmlformats.org/officeDocument/2006/relationships/hyperlink" Target="https://www.linkedin.com/in/sabila-rasyad-542b7215b/" TargetMode="External"/><Relationship Id="rId145" Type="http://schemas.openxmlformats.org/officeDocument/2006/relationships/hyperlink" Target="https://www.linkedin.com/in/adityayuwono/" TargetMode="External"/><Relationship Id="rId352" Type="http://schemas.openxmlformats.org/officeDocument/2006/relationships/hyperlink" Target="https://www.linkedin.com/in/rakeshpatni/" TargetMode="External"/><Relationship Id="rId212" Type="http://schemas.openxmlformats.org/officeDocument/2006/relationships/hyperlink" Target="https://www.linkedin.com/in/selma-soraya-476282151/" TargetMode="External"/><Relationship Id="rId657" Type="http://schemas.openxmlformats.org/officeDocument/2006/relationships/hyperlink" Target="https://www.linkedin.com/in/thejohnlebeliza/" TargetMode="External"/><Relationship Id="rId864" Type="http://schemas.openxmlformats.org/officeDocument/2006/relationships/hyperlink" Target="http://linkedin.com/in/tiffany-dwi-putri-1b411095" TargetMode="External"/><Relationship Id="rId517" Type="http://schemas.openxmlformats.org/officeDocument/2006/relationships/hyperlink" Target="https://www.linkedin.com/in/kinanti-hayuning-tyas-bandjar-b14515173/" TargetMode="External"/><Relationship Id="rId724" Type="http://schemas.openxmlformats.org/officeDocument/2006/relationships/hyperlink" Target="https://www.linkedin.com/in/victortissot/" TargetMode="External"/><Relationship Id="rId931" Type="http://schemas.openxmlformats.org/officeDocument/2006/relationships/hyperlink" Target="http://www.linkedin.com/in/rocaline" TargetMode="External"/><Relationship Id="rId1147" Type="http://schemas.openxmlformats.org/officeDocument/2006/relationships/hyperlink" Target="https://www.linkedin.com/in/arkaan-izhraqi/" TargetMode="External"/><Relationship Id="rId60" Type="http://schemas.openxmlformats.org/officeDocument/2006/relationships/hyperlink" Target="https://www.linkedin.com/in/sandeeprajr/" TargetMode="External"/><Relationship Id="rId1007" Type="http://schemas.openxmlformats.org/officeDocument/2006/relationships/hyperlink" Target="https://www.linkedin.com/in/sohamgaru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homage.recruitee.com/o/senior-product-manager" TargetMode="External"/><Relationship Id="rId299" Type="http://schemas.openxmlformats.org/officeDocument/2006/relationships/hyperlink" Target="https://vcf.mycareersfuture.sg/vcf/ict_professionals_apr20/job/MCF-2020-0079747" TargetMode="External"/><Relationship Id="rId21" Type="http://schemas.openxmlformats.org/officeDocument/2006/relationships/hyperlink" Target="https://lnkd.in/fGw9aae" TargetMode="External"/><Relationship Id="rId63" Type="http://schemas.openxmlformats.org/officeDocument/2006/relationships/hyperlink" Target="https://stashaway-jobs.personio.de/job/181543" TargetMode="External"/><Relationship Id="rId159" Type="http://schemas.openxmlformats.org/officeDocument/2006/relationships/hyperlink" Target="https://www.smarttradzt.com/" TargetMode="External"/><Relationship Id="rId324" Type="http://schemas.openxmlformats.org/officeDocument/2006/relationships/hyperlink" Target="mailto:hr@velotrade.com" TargetMode="External"/><Relationship Id="rId366" Type="http://schemas.openxmlformats.org/officeDocument/2006/relationships/hyperlink" Target="https://secretlab.sg/pages/careers" TargetMode="External"/><Relationship Id="rId170" Type="http://schemas.openxmlformats.org/officeDocument/2006/relationships/hyperlink" Target="http://binary.com/en/careers.html" TargetMode="External"/><Relationship Id="rId226" Type="http://schemas.openxmlformats.org/officeDocument/2006/relationships/hyperlink" Target="https://www.foodpanda.sg/contents/jobs?gh_jid=2081023" TargetMode="External"/><Relationship Id="rId433" Type="http://schemas.openxmlformats.org/officeDocument/2006/relationships/hyperlink" Target="mailto:aldrin.c@rasrecritment.com" TargetMode="External"/><Relationship Id="rId268" Type="http://schemas.openxmlformats.org/officeDocument/2006/relationships/hyperlink" Target="https://www.linkedin.com/jobs/view/1816635906/" TargetMode="External"/><Relationship Id="rId32" Type="http://schemas.openxmlformats.org/officeDocument/2006/relationships/hyperlink" Target="http://www.heveaconnect.com/" TargetMode="External"/><Relationship Id="rId74" Type="http://schemas.openxmlformats.org/officeDocument/2006/relationships/hyperlink" Target="https://www.circles.life/sg/job-board/?gh_jid=4689540002" TargetMode="External"/><Relationship Id="rId128" Type="http://schemas.openxmlformats.org/officeDocument/2006/relationships/hyperlink" Target="https://fsmk.bamboohr.com/jobs/view.php?id=68" TargetMode="External"/><Relationship Id="rId335" Type="http://schemas.openxmlformats.org/officeDocument/2006/relationships/hyperlink" Target="https://www.wantedly.com/projects/439460" TargetMode="External"/><Relationship Id="rId377" Type="http://schemas.openxmlformats.org/officeDocument/2006/relationships/hyperlink" Target="https://www.mycareersfuture.sg/job/marketing/digital-marketer-quadrant-global-a406b44b0ac7be5f9b985133870cc346" TargetMode="External"/><Relationship Id="rId5" Type="http://schemas.openxmlformats.org/officeDocument/2006/relationships/hyperlink" Target="https://www.jobstreet.com.sg/en/job/backend-software-engineer-algorithms-7848001" TargetMode="External"/><Relationship Id="rId181" Type="http://schemas.openxmlformats.org/officeDocument/2006/relationships/hyperlink" Target="http://sehatq.com/" TargetMode="External"/><Relationship Id="rId237" Type="http://schemas.openxmlformats.org/officeDocument/2006/relationships/hyperlink" Target="http://shipper.id/" TargetMode="External"/><Relationship Id="rId402" Type="http://schemas.openxmlformats.org/officeDocument/2006/relationships/hyperlink" Target="https://etonhouse.recruiterpal.com/career/jobs/kb9vp" TargetMode="External"/><Relationship Id="rId279" Type="http://schemas.openxmlformats.org/officeDocument/2006/relationships/hyperlink" Target="https://www.lazada.com/en/careers/job-description/GP599432/" TargetMode="External"/><Relationship Id="rId43" Type="http://schemas.openxmlformats.org/officeDocument/2006/relationships/hyperlink" Target="http://armillary.io/" TargetMode="External"/><Relationship Id="rId139" Type="http://schemas.openxmlformats.org/officeDocument/2006/relationships/hyperlink" Target="http://mamikos.com/" TargetMode="External"/><Relationship Id="rId290" Type="http://schemas.openxmlformats.org/officeDocument/2006/relationships/hyperlink" Target="http://tinyurl.com/vd9x26h" TargetMode="External"/><Relationship Id="rId304" Type="http://schemas.openxmlformats.org/officeDocument/2006/relationships/hyperlink" Target="http://telunjuk.com/" TargetMode="External"/><Relationship Id="rId346" Type="http://schemas.openxmlformats.org/officeDocument/2006/relationships/hyperlink" Target="http://welovesupermom.com/" TargetMode="External"/><Relationship Id="rId388" Type="http://schemas.openxmlformats.org/officeDocument/2006/relationships/hyperlink" Target="http://www.thebalanceco.com/" TargetMode="External"/><Relationship Id="rId85" Type="http://schemas.openxmlformats.org/officeDocument/2006/relationships/hyperlink" Target="https://gudangada.urbanhire.com/" TargetMode="External"/><Relationship Id="rId150" Type="http://schemas.openxmlformats.org/officeDocument/2006/relationships/hyperlink" Target="https://www.secureage.com/about/careers/singapore/senior-software-engineer/" TargetMode="External"/><Relationship Id="rId192" Type="http://schemas.openxmlformats.org/officeDocument/2006/relationships/hyperlink" Target="https://www.carsome.my/career_with_us" TargetMode="External"/><Relationship Id="rId206" Type="http://schemas.openxmlformats.org/officeDocument/2006/relationships/hyperlink" Target="https://jobs.nimblehq.co/o/web-developer-midsenior-level-bangkok?source=sea" TargetMode="External"/><Relationship Id="rId413" Type="http://schemas.openxmlformats.org/officeDocument/2006/relationships/hyperlink" Target="https://docs.google.com/forms/d/e/1FAIpQLScH4Vul7IJLomAzn995_spWlqtnC6HZ-gy6i-vxPh8bzSNfZw/viewform" TargetMode="External"/><Relationship Id="rId248" Type="http://schemas.openxmlformats.org/officeDocument/2006/relationships/hyperlink" Target="https://shipper.freshteam.com/jobs" TargetMode="External"/><Relationship Id="rId12" Type="http://schemas.openxmlformats.org/officeDocument/2006/relationships/hyperlink" Target="http://www.futurelabs.vc/" TargetMode="External"/><Relationship Id="rId108" Type="http://schemas.openxmlformats.org/officeDocument/2006/relationships/hyperlink" Target="https://www.linkedin.com/jobs/view/1770395318/" TargetMode="External"/><Relationship Id="rId315" Type="http://schemas.openxmlformats.org/officeDocument/2006/relationships/hyperlink" Target="https://careers.tripadvisor.com/job/TRINUS2163432/Presentation-Designer" TargetMode="External"/><Relationship Id="rId357" Type="http://schemas.openxmlformats.org/officeDocument/2006/relationships/hyperlink" Target="https://www.jobstreet.com.sg/en/job/7906006/sources/2" TargetMode="External"/><Relationship Id="rId54" Type="http://schemas.openxmlformats.org/officeDocument/2006/relationships/hyperlink" Target="https://sg.indeed.com/viewjob?t=asp+web+developer&amp;jk=fc2ccfc9856d4daf&amp;_ga=2.128328844.120281084.1585718778-1508611727.1579076868" TargetMode="External"/><Relationship Id="rId96" Type="http://schemas.openxmlformats.org/officeDocument/2006/relationships/hyperlink" Target="https://www.connectone.com.sg/social-media-manager-my-sports-wearables-startup" TargetMode="External"/><Relationship Id="rId161" Type="http://schemas.openxmlformats.org/officeDocument/2006/relationships/hyperlink" Target="https://www.smarttradzt.com/" TargetMode="External"/><Relationship Id="rId217" Type="http://schemas.openxmlformats.org/officeDocument/2006/relationships/hyperlink" Target="https://networkguard.com/careers/content-marketing/content-manager-singapore-or-hong-kong/" TargetMode="External"/><Relationship Id="rId399" Type="http://schemas.openxmlformats.org/officeDocument/2006/relationships/hyperlink" Target="https://opinionsmatter.typeform.com/to/eqMkq0" TargetMode="External"/><Relationship Id="rId259" Type="http://schemas.openxmlformats.org/officeDocument/2006/relationships/hyperlink" Target="mailto:hr@shipsfocus.com" TargetMode="External"/><Relationship Id="rId424" Type="http://schemas.openxmlformats.org/officeDocument/2006/relationships/hyperlink" Target="mailto:talent@99.co" TargetMode="External"/><Relationship Id="rId23" Type="http://schemas.openxmlformats.org/officeDocument/2006/relationships/hyperlink" Target="https://lnkd.in/fa4P2ve" TargetMode="External"/><Relationship Id="rId119" Type="http://schemas.openxmlformats.org/officeDocument/2006/relationships/hyperlink" Target="http://www.call-levels.com/" TargetMode="External"/><Relationship Id="rId270" Type="http://schemas.openxmlformats.org/officeDocument/2006/relationships/hyperlink" Target="https://th.jobsdb.com/th/th/job/manager-e2e-supply-chain-excellence-30000300217951" TargetMode="External"/><Relationship Id="rId326" Type="http://schemas.openxmlformats.org/officeDocument/2006/relationships/hyperlink" Target="http://waymakrs.com/" TargetMode="External"/><Relationship Id="rId65" Type="http://schemas.openxmlformats.org/officeDocument/2006/relationships/hyperlink" Target="https://stashaway-jobs.personio.de/job/107905" TargetMode="External"/><Relationship Id="rId130" Type="http://schemas.openxmlformats.org/officeDocument/2006/relationships/hyperlink" Target="https://fsmk.bamboohr.com/jobs/view.php?id=194" TargetMode="External"/><Relationship Id="rId368" Type="http://schemas.openxmlformats.org/officeDocument/2006/relationships/hyperlink" Target="https://secretlab.sg/pages/careers" TargetMode="External"/><Relationship Id="rId172" Type="http://schemas.openxmlformats.org/officeDocument/2006/relationships/hyperlink" Target="http://binary.com/en/careers.html" TargetMode="External"/><Relationship Id="rId228" Type="http://schemas.openxmlformats.org/officeDocument/2006/relationships/hyperlink" Target="https://grnh.se/b7a736852us" TargetMode="External"/><Relationship Id="rId435" Type="http://schemas.openxmlformats.org/officeDocument/2006/relationships/hyperlink" Target="http://approvd.ai/" TargetMode="External"/><Relationship Id="rId281" Type="http://schemas.openxmlformats.org/officeDocument/2006/relationships/hyperlink" Target="https://www.lazada.com/en/careers/job-description/GP617616/" TargetMode="External"/><Relationship Id="rId337" Type="http://schemas.openxmlformats.org/officeDocument/2006/relationships/hyperlink" Target="https://www.wantedly.com/projects/439476" TargetMode="External"/><Relationship Id="rId34" Type="http://schemas.openxmlformats.org/officeDocument/2006/relationships/hyperlink" Target="https://www.linkedin.com/company/discoverpelago/jobs/?viewAsMember=true" TargetMode="External"/><Relationship Id="rId76" Type="http://schemas.openxmlformats.org/officeDocument/2006/relationships/hyperlink" Target="https://codapayments.bamboohr.com/jobs/view.php?id=103" TargetMode="External"/><Relationship Id="rId141" Type="http://schemas.openxmlformats.org/officeDocument/2006/relationships/hyperlink" Target="http://mamikos.com/" TargetMode="External"/><Relationship Id="rId379" Type="http://schemas.openxmlformats.org/officeDocument/2006/relationships/hyperlink" Target="http://ewideplus.com/" TargetMode="External"/><Relationship Id="rId7" Type="http://schemas.openxmlformats.org/officeDocument/2006/relationships/hyperlink" Target="https://jobs.lever.co/rainmaking" TargetMode="External"/><Relationship Id="rId183" Type="http://schemas.openxmlformats.org/officeDocument/2006/relationships/hyperlink" Target="http://sehatq.com/" TargetMode="External"/><Relationship Id="rId239" Type="http://schemas.openxmlformats.org/officeDocument/2006/relationships/hyperlink" Target="http://shipper.id/" TargetMode="External"/><Relationship Id="rId390" Type="http://schemas.openxmlformats.org/officeDocument/2006/relationships/hyperlink" Target="http://www.thebalanceco.com/" TargetMode="External"/><Relationship Id="rId404" Type="http://schemas.openxmlformats.org/officeDocument/2006/relationships/hyperlink" Target="https://hire.withgoogle.com/public/jobs/shopbackcom/view/P_AAAAAACAAIiPEVCJUWOh-t" TargetMode="External"/><Relationship Id="rId250" Type="http://schemas.openxmlformats.org/officeDocument/2006/relationships/hyperlink" Target="https://www.linkedin.com/jobs/cap/view/1778538200/?pathWildcard=1778538200&amp;trk=job_capjs" TargetMode="External"/><Relationship Id="rId292" Type="http://schemas.openxmlformats.org/officeDocument/2006/relationships/hyperlink" Target="http://telunjuk.com/" TargetMode="External"/><Relationship Id="rId306" Type="http://schemas.openxmlformats.org/officeDocument/2006/relationships/hyperlink" Target="mailto:mtay@tripadvisor.com" TargetMode="External"/><Relationship Id="rId45" Type="http://schemas.openxmlformats.org/officeDocument/2006/relationships/hyperlink" Target="http://armillary.io/" TargetMode="External"/><Relationship Id="rId87" Type="http://schemas.openxmlformats.org/officeDocument/2006/relationships/hyperlink" Target="https://gudangada.urbanhire.com/" TargetMode="External"/><Relationship Id="rId110" Type="http://schemas.openxmlformats.org/officeDocument/2006/relationships/hyperlink" Target="https://angel.co/company/tourhero/jobs" TargetMode="External"/><Relationship Id="rId348" Type="http://schemas.openxmlformats.org/officeDocument/2006/relationships/hyperlink" Target="mailto:askme@aspirealliance.com.sg" TargetMode="External"/><Relationship Id="rId152" Type="http://schemas.openxmlformats.org/officeDocument/2006/relationships/hyperlink" Target="https://www.secureage.com/about/careers/singapore/operations-support-engineer/" TargetMode="External"/><Relationship Id="rId194" Type="http://schemas.openxmlformats.org/officeDocument/2006/relationships/hyperlink" Target="https://www.carsome.my/career_with_us" TargetMode="External"/><Relationship Id="rId208" Type="http://schemas.openxmlformats.org/officeDocument/2006/relationships/hyperlink" Target="https://jobs.nimblehq.co/o/android-developer-mid-senior-level-6?source=sea" TargetMode="External"/><Relationship Id="rId415" Type="http://schemas.openxmlformats.org/officeDocument/2006/relationships/hyperlink" Target="http://www.izeno.com/" TargetMode="External"/><Relationship Id="rId261" Type="http://schemas.openxmlformats.org/officeDocument/2006/relationships/hyperlink" Target="https://janio.darwinbox.com/ms/candidate/careers/5e451e2364c71" TargetMode="External"/><Relationship Id="rId14" Type="http://schemas.openxmlformats.org/officeDocument/2006/relationships/hyperlink" Target="http://www.futurelabs.vc/" TargetMode="External"/><Relationship Id="rId56" Type="http://schemas.openxmlformats.org/officeDocument/2006/relationships/hyperlink" Target="https://www.jobstreet.com.sg/en/job-search/carro-jobs/?ojs=2" TargetMode="External"/><Relationship Id="rId317" Type="http://schemas.openxmlformats.org/officeDocument/2006/relationships/hyperlink" Target="https://careers.tripadvisor.com/job/TRINUS2163426/Copywriter" TargetMode="External"/><Relationship Id="rId359" Type="http://schemas.openxmlformats.org/officeDocument/2006/relationships/hyperlink" Target="https://www.jobstreet.com.sg/en/job/7908758/sources/2" TargetMode="External"/><Relationship Id="rId98" Type="http://schemas.openxmlformats.org/officeDocument/2006/relationships/hyperlink" Target="https://www.connectone.com.sg/ios-developer-my-wearable-tech" TargetMode="External"/><Relationship Id="rId121" Type="http://schemas.openxmlformats.org/officeDocument/2006/relationships/hyperlink" Target="https://brank.as/about" TargetMode="External"/><Relationship Id="rId163" Type="http://schemas.openxmlformats.org/officeDocument/2006/relationships/hyperlink" Target="http://www.bcgdv.com/" TargetMode="External"/><Relationship Id="rId219" Type="http://schemas.openxmlformats.org/officeDocument/2006/relationships/hyperlink" Target="mailto:rachma@fairtech.com.sg" TargetMode="External"/><Relationship Id="rId370" Type="http://schemas.openxmlformats.org/officeDocument/2006/relationships/hyperlink" Target="https://www.bittitan.com/our-story/careers/careers-detail?gh_jid=2037040" TargetMode="External"/><Relationship Id="rId426" Type="http://schemas.openxmlformats.org/officeDocument/2006/relationships/hyperlink" Target="mailto:talent@99.co" TargetMode="External"/><Relationship Id="rId230" Type="http://schemas.openxmlformats.org/officeDocument/2006/relationships/hyperlink" Target="https://grnh.se/f1bb31662us" TargetMode="External"/><Relationship Id="rId25" Type="http://schemas.openxmlformats.org/officeDocument/2006/relationships/hyperlink" Target="https://www.linkedin.com/jobs/view/1652645561/" TargetMode="External"/><Relationship Id="rId67" Type="http://schemas.openxmlformats.org/officeDocument/2006/relationships/hyperlink" Target="https://jobs.lever.co/ninjavan/b39a2d84-5143-4c4d-81a8-dc93cfb2b0d2" TargetMode="External"/><Relationship Id="rId272" Type="http://schemas.openxmlformats.org/officeDocument/2006/relationships/hyperlink" Target="https://www.andafin.com/careers/" TargetMode="External"/><Relationship Id="rId328" Type="http://schemas.openxmlformats.org/officeDocument/2006/relationships/hyperlink" Target="mailto:hr@imotorbike.com" TargetMode="External"/><Relationship Id="rId132" Type="http://schemas.openxmlformats.org/officeDocument/2006/relationships/hyperlink" Target="https://www.linkedin.com/jobs/view/1779385449" TargetMode="External"/><Relationship Id="rId174" Type="http://schemas.openxmlformats.org/officeDocument/2006/relationships/hyperlink" Target="http://binary.com/en/careers.html" TargetMode="External"/><Relationship Id="rId381" Type="http://schemas.openxmlformats.org/officeDocument/2006/relationships/hyperlink" Target="https://www.wantedly.com/projects/453210" TargetMode="External"/><Relationship Id="rId241" Type="http://schemas.openxmlformats.org/officeDocument/2006/relationships/hyperlink" Target="http://shipper.id/" TargetMode="External"/><Relationship Id="rId437" Type="http://schemas.openxmlformats.org/officeDocument/2006/relationships/hyperlink" Target="https://www.linkedin.com/jobs/view/1878542218/" TargetMode="External"/><Relationship Id="rId36" Type="http://schemas.openxmlformats.org/officeDocument/2006/relationships/hyperlink" Target="https://garuda.io/job-openings/" TargetMode="External"/><Relationship Id="rId283" Type="http://schemas.openxmlformats.org/officeDocument/2006/relationships/hyperlink" Target="https://www.lazada.com/en/careers/job-description/GP070722/" TargetMode="External"/><Relationship Id="rId339" Type="http://schemas.openxmlformats.org/officeDocument/2006/relationships/hyperlink" Target="http://www.protocol.com.sg/" TargetMode="External"/><Relationship Id="rId78" Type="http://schemas.openxmlformats.org/officeDocument/2006/relationships/hyperlink" Target="https://codapayments.bamboohr.com/jobs/view.php?id=96" TargetMode="External"/><Relationship Id="rId101" Type="http://schemas.openxmlformats.org/officeDocument/2006/relationships/hyperlink" Target="https://careers.carousell.com/" TargetMode="External"/><Relationship Id="rId143" Type="http://schemas.openxmlformats.org/officeDocument/2006/relationships/hyperlink" Target="https://hire.withgoogle.com/public/jobs/xenditco/view/P_AAAAAAEAAE9MXU0pJ6oQEB" TargetMode="External"/><Relationship Id="rId185" Type="http://schemas.openxmlformats.org/officeDocument/2006/relationships/hyperlink" Target="https://www.jobstreet.com.my/en/job/4297811/sources/2" TargetMode="External"/><Relationship Id="rId350" Type="http://schemas.openxmlformats.org/officeDocument/2006/relationships/hyperlink" Target="mailto:askme@aspirealliance.com.sg" TargetMode="External"/><Relationship Id="rId406" Type="http://schemas.openxmlformats.org/officeDocument/2006/relationships/hyperlink" Target="https://apply.workable.com/ice-house-1/j/713CBA9984" TargetMode="External"/><Relationship Id="rId9" Type="http://schemas.openxmlformats.org/officeDocument/2006/relationships/hyperlink" Target="https://www.glassdoor.sg/Job/singapore-iot-solutions-architect-jobs-SRCH_IL.0,9_IC3235921_KO10,33.htm" TargetMode="External"/><Relationship Id="rId210" Type="http://schemas.openxmlformats.org/officeDocument/2006/relationships/hyperlink" Target="https://angel.co/company/siklus/jobs/762522-coo-co-founder" TargetMode="External"/><Relationship Id="rId392" Type="http://schemas.openxmlformats.org/officeDocument/2006/relationships/hyperlink" Target="https://www.google.com/url?q=https://snapask.com/&amp;sa=D&amp;ust=1589428617362000&amp;usg=AFQjCNFoi7PKkf6lP24ZPcmnVzv8e_cj9A" TargetMode="External"/><Relationship Id="rId252" Type="http://schemas.openxmlformats.org/officeDocument/2006/relationships/hyperlink" Target="https://shopline.my/" TargetMode="External"/><Relationship Id="rId294" Type="http://schemas.openxmlformats.org/officeDocument/2006/relationships/hyperlink" Target="http://telunjuk.com/" TargetMode="External"/><Relationship Id="rId308" Type="http://schemas.openxmlformats.org/officeDocument/2006/relationships/hyperlink" Target="mailto:mtay@tripadvisor.com" TargetMode="External"/><Relationship Id="rId47" Type="http://schemas.openxmlformats.org/officeDocument/2006/relationships/hyperlink" Target="https://careers.smartrecruiters.com/armillary" TargetMode="External"/><Relationship Id="rId89" Type="http://schemas.openxmlformats.org/officeDocument/2006/relationships/hyperlink" Target="https://id.indeed.com/job/high-pay-senior-full-stack-developer-b1aac71d0959180a" TargetMode="External"/><Relationship Id="rId112" Type="http://schemas.openxmlformats.org/officeDocument/2006/relationships/hyperlink" Target="https://www.linkedin.com/jobs/view/devops-engineer-at-tetmon-pte-ltd-1793957420/?originalSubdomain=sg" TargetMode="External"/><Relationship Id="rId154" Type="http://schemas.openxmlformats.org/officeDocument/2006/relationships/hyperlink" Target="https://careers.bobobox.co.id/career/general/1-head-of-legal" TargetMode="External"/><Relationship Id="rId361" Type="http://schemas.openxmlformats.org/officeDocument/2006/relationships/hyperlink" Target="https://www.itch.me/" TargetMode="External"/><Relationship Id="rId196" Type="http://schemas.openxmlformats.org/officeDocument/2006/relationships/hyperlink" Target="https://www.carsome.my/career_with_us" TargetMode="External"/><Relationship Id="rId417" Type="http://schemas.openxmlformats.org/officeDocument/2006/relationships/hyperlink" Target="http://www.izeno.com/" TargetMode="External"/><Relationship Id="rId16" Type="http://schemas.openxmlformats.org/officeDocument/2006/relationships/hyperlink" Target="http://www.futurelabs.vc/" TargetMode="External"/><Relationship Id="rId221" Type="http://schemas.openxmlformats.org/officeDocument/2006/relationships/hyperlink" Target="https://www.foodpanda.sg/contents/jobs?gh_jid=1673096" TargetMode="External"/><Relationship Id="rId263" Type="http://schemas.openxmlformats.org/officeDocument/2006/relationships/hyperlink" Target="https://janio.darwinbox.com/ms/candidate/careers/5e330a48c1019" TargetMode="External"/><Relationship Id="rId319" Type="http://schemas.openxmlformats.org/officeDocument/2006/relationships/hyperlink" Target="mailto:nanda@lendeast.com" TargetMode="External"/><Relationship Id="rId58" Type="http://schemas.openxmlformats.org/officeDocument/2006/relationships/hyperlink" Target="https://www.wantedly.com/projects/427944" TargetMode="External"/><Relationship Id="rId123" Type="http://schemas.openxmlformats.org/officeDocument/2006/relationships/hyperlink" Target="https://www.linkedin.com/jobs/cap/view/1807860190/?pathWildcard=1807860190&amp;trk=mcm" TargetMode="External"/><Relationship Id="rId330" Type="http://schemas.openxmlformats.org/officeDocument/2006/relationships/hyperlink" Target="https://www.wantedly.com/projects/448462" TargetMode="External"/><Relationship Id="rId165" Type="http://schemas.openxmlformats.org/officeDocument/2006/relationships/hyperlink" Target="http://www.bcgdv.com/" TargetMode="External"/><Relationship Id="rId372" Type="http://schemas.openxmlformats.org/officeDocument/2006/relationships/hyperlink" Target="https://www.bittitan.com/our-story/careers/careers-detail?gh_jid=2186440" TargetMode="External"/><Relationship Id="rId428" Type="http://schemas.openxmlformats.org/officeDocument/2006/relationships/hyperlink" Target="https://infradigital.io/career" TargetMode="External"/><Relationship Id="rId232" Type="http://schemas.openxmlformats.org/officeDocument/2006/relationships/hyperlink" Target="https://careers.shopee.sg/job-detail/2808/" TargetMode="External"/><Relationship Id="rId274" Type="http://schemas.openxmlformats.org/officeDocument/2006/relationships/hyperlink" Target="https://www.andafin.com/careers/" TargetMode="External"/><Relationship Id="rId27" Type="http://schemas.openxmlformats.org/officeDocument/2006/relationships/hyperlink" Target="https://www.jobstreet.com.sg/en/job-search/sgcm-jobs/?ojs=2" TargetMode="External"/><Relationship Id="rId69" Type="http://schemas.openxmlformats.org/officeDocument/2006/relationships/hyperlink" Target="https://jobs.lever.co/zenyum/52141b5e-7acb-4e2d-9d38-5321ad048668" TargetMode="External"/><Relationship Id="rId134" Type="http://schemas.openxmlformats.org/officeDocument/2006/relationships/hyperlink" Target="https://www.linkedin.com/jobs/view/1775059660" TargetMode="External"/><Relationship Id="rId80" Type="http://schemas.openxmlformats.org/officeDocument/2006/relationships/hyperlink" Target="https://codapayments.bamboohr.com/jobs/view.php?id=118" TargetMode="External"/><Relationship Id="rId176" Type="http://schemas.openxmlformats.org/officeDocument/2006/relationships/hyperlink" Target="https://www.kalibrr.com/c/sehatq/jobs" TargetMode="External"/><Relationship Id="rId341" Type="http://schemas.openxmlformats.org/officeDocument/2006/relationships/hyperlink" Target="http://www.protocol.com.sg/" TargetMode="External"/><Relationship Id="rId383" Type="http://schemas.openxmlformats.org/officeDocument/2006/relationships/hyperlink" Target="https://job.toutiao.com/s/Kn1H5H" TargetMode="External"/><Relationship Id="rId201" Type="http://schemas.openxmlformats.org/officeDocument/2006/relationships/hyperlink" Target="https://www.kalibrr.id/c/zenius-education/jobs/147012/teachers-upskilling-lead?similar_job_code=0&amp;app_source=company-page" TargetMode="External"/><Relationship Id="rId243" Type="http://schemas.openxmlformats.org/officeDocument/2006/relationships/hyperlink" Target="http://shipper.id/" TargetMode="External"/><Relationship Id="rId285" Type="http://schemas.openxmlformats.org/officeDocument/2006/relationships/hyperlink" Target="https://www.lazada.com/en/careers/job-description/GP607724/" TargetMode="External"/><Relationship Id="rId38" Type="http://schemas.openxmlformats.org/officeDocument/2006/relationships/hyperlink" Target="https://lingumi.homerun.co/associate-software-engineer-backend-building-for-the-next-500m-young-learners/en" TargetMode="External"/><Relationship Id="rId103" Type="http://schemas.openxmlformats.org/officeDocument/2006/relationships/hyperlink" Target="http://careers.engagerocket.co/" TargetMode="External"/><Relationship Id="rId310" Type="http://schemas.openxmlformats.org/officeDocument/2006/relationships/hyperlink" Target="mailto:mtay@tripadvisor.com" TargetMode="External"/><Relationship Id="rId91" Type="http://schemas.openxmlformats.org/officeDocument/2006/relationships/hyperlink" Target="https://saisoncapital.com/" TargetMode="External"/><Relationship Id="rId145" Type="http://schemas.openxmlformats.org/officeDocument/2006/relationships/hyperlink" Target="https://hire.withgoogle.com/public/jobs/xenditco/view/P_AAAAAAEAAE9Ae-n_XbRXKi" TargetMode="External"/><Relationship Id="rId187" Type="http://schemas.openxmlformats.org/officeDocument/2006/relationships/hyperlink" Target="https://apply.workable.com/inmagine/j/19377F7FC6/" TargetMode="External"/><Relationship Id="rId352" Type="http://schemas.openxmlformats.org/officeDocument/2006/relationships/hyperlink" Target="mailto:askme@aspirealliance.com.sg" TargetMode="External"/><Relationship Id="rId394" Type="http://schemas.openxmlformats.org/officeDocument/2006/relationships/hyperlink" Target="https://www.google.com/url?q=https://snapask.com/&amp;sa=D&amp;ust=1589428617362000&amp;usg=AFQjCNFoi7PKkf6lP24ZPcmnVzv8e_cj9A" TargetMode="External"/><Relationship Id="rId408" Type="http://schemas.openxmlformats.org/officeDocument/2006/relationships/hyperlink" Target="https://docs.google.com/forms/d/e/1FAIpQLScH4Vul7IJLomAzn995_spWlqtnC6HZ-gy6i-vxPh8bzSNfZw/viewform" TargetMode="External"/><Relationship Id="rId212" Type="http://schemas.openxmlformats.org/officeDocument/2006/relationships/hyperlink" Target="http://www.duanyam.com/" TargetMode="External"/><Relationship Id="rId254" Type="http://schemas.openxmlformats.org/officeDocument/2006/relationships/hyperlink" Target="https://shopline.my/" TargetMode="External"/><Relationship Id="rId49" Type="http://schemas.openxmlformats.org/officeDocument/2006/relationships/hyperlink" Target="http://armillary.io/" TargetMode="External"/><Relationship Id="rId114" Type="http://schemas.openxmlformats.org/officeDocument/2006/relationships/hyperlink" Target="https://homage.recruitee.com/o/director-of-sales-business-development" TargetMode="External"/><Relationship Id="rId296" Type="http://schemas.openxmlformats.org/officeDocument/2006/relationships/hyperlink" Target="https://vcf.mycareersfuture.sg/vcf/ict_professionals_apr20/jobs/listing/search/Percept%2520Solutions?pagination=1&amp;job_category=" TargetMode="External"/><Relationship Id="rId60" Type="http://schemas.openxmlformats.org/officeDocument/2006/relationships/hyperlink" Target="https://stashaway-jobs.personio.de/job/125884" TargetMode="External"/><Relationship Id="rId81" Type="http://schemas.openxmlformats.org/officeDocument/2006/relationships/hyperlink" Target="https://codapayments.bamboohr.com/jobs/view.php?id=107" TargetMode="External"/><Relationship Id="rId135" Type="http://schemas.openxmlformats.org/officeDocument/2006/relationships/hyperlink" Target="http://mamikos.com/" TargetMode="External"/><Relationship Id="rId156" Type="http://schemas.openxmlformats.org/officeDocument/2006/relationships/hyperlink" Target="https://careers.bobobox.co.id/career/general/0-head-of-commercial" TargetMode="External"/><Relationship Id="rId177" Type="http://schemas.openxmlformats.org/officeDocument/2006/relationships/hyperlink" Target="http://sehatq.com/" TargetMode="External"/><Relationship Id="rId198" Type="http://schemas.openxmlformats.org/officeDocument/2006/relationships/hyperlink" Target="https://angel.co/company/blockdynamics/jobs/542501-product-manager-for-enterprise-supply-chain-application-blockchain-iot-fluent-chinese-required" TargetMode="External"/><Relationship Id="rId321" Type="http://schemas.openxmlformats.org/officeDocument/2006/relationships/hyperlink" Target="https://www.linkedin.com/jobs/cap/view/1694652394/?pathWildcard=1694652394&amp;trk=mcm" TargetMode="External"/><Relationship Id="rId342" Type="http://schemas.openxmlformats.org/officeDocument/2006/relationships/hyperlink" Target="http://welovesupermom.com/" TargetMode="External"/><Relationship Id="rId363" Type="http://schemas.openxmlformats.org/officeDocument/2006/relationships/hyperlink" Target="https://www.linkedin.com/jobs/view/1825747635" TargetMode="External"/><Relationship Id="rId384" Type="http://schemas.openxmlformats.org/officeDocument/2006/relationships/hyperlink" Target="https://job.toutiao.com/s/Kttv3f" TargetMode="External"/><Relationship Id="rId419" Type="http://schemas.openxmlformats.org/officeDocument/2006/relationships/hyperlink" Target="http://www.izeno.com/" TargetMode="External"/><Relationship Id="rId202" Type="http://schemas.openxmlformats.org/officeDocument/2006/relationships/hyperlink" Target="https://worq.space/coworking-space/subang/" TargetMode="External"/><Relationship Id="rId223" Type="http://schemas.openxmlformats.org/officeDocument/2006/relationships/hyperlink" Target="https://www.foodpanda.sg/contents/jobs?gh_jid=1846399" TargetMode="External"/><Relationship Id="rId244" Type="http://schemas.openxmlformats.org/officeDocument/2006/relationships/hyperlink" Target="https://shipper.freshteam.com/jobs" TargetMode="External"/><Relationship Id="rId430" Type="http://schemas.openxmlformats.org/officeDocument/2006/relationships/hyperlink" Target="https://infradigital.io/career" TargetMode="External"/><Relationship Id="rId18" Type="http://schemas.openxmlformats.org/officeDocument/2006/relationships/hyperlink" Target="http://www.futurelabs.vc/" TargetMode="External"/><Relationship Id="rId39" Type="http://schemas.openxmlformats.org/officeDocument/2006/relationships/hyperlink" Target="https://lingumi.homerun.co/associate-software-engineer-mobile-building-for-the-next-500m-young-learners/en" TargetMode="External"/><Relationship Id="rId265" Type="http://schemas.openxmlformats.org/officeDocument/2006/relationships/hyperlink" Target="https://grnh.se/e74089be1us" TargetMode="External"/><Relationship Id="rId286" Type="http://schemas.openxmlformats.org/officeDocument/2006/relationships/hyperlink" Target="mailto:zoey.lai@lazada.com" TargetMode="External"/><Relationship Id="rId50" Type="http://schemas.openxmlformats.org/officeDocument/2006/relationships/hyperlink" Target="https://fundnel.com/jobs/59/singapore/technical-lead" TargetMode="External"/><Relationship Id="rId104" Type="http://schemas.openxmlformats.org/officeDocument/2006/relationships/hyperlink" Target="https://fsmk.bamboohr.com/jobs/view.php?id=191" TargetMode="External"/><Relationship Id="rId125" Type="http://schemas.openxmlformats.org/officeDocument/2006/relationships/hyperlink" Target="https://cialfo.bamboohr.com/jobs/view.php?id=21" TargetMode="External"/><Relationship Id="rId146" Type="http://schemas.openxmlformats.org/officeDocument/2006/relationships/hyperlink" Target="https://www.secureage.com/about/careers/singapore/front-end-ux-developer/" TargetMode="External"/><Relationship Id="rId167" Type="http://schemas.openxmlformats.org/officeDocument/2006/relationships/hyperlink" Target="https://career.catapa.com/konvergenai/27eaf9e2-c63f-4f65-8960-0b9a66ef04d8" TargetMode="External"/><Relationship Id="rId188" Type="http://schemas.openxmlformats.org/officeDocument/2006/relationships/hyperlink" Target="https://apply.workable.com/inmagine/j/E7C5C72952/" TargetMode="External"/><Relationship Id="rId311" Type="http://schemas.openxmlformats.org/officeDocument/2006/relationships/hyperlink" Target="https://careers.tripadvisor.com/job/TRINUS2163421/Interaction-Designer" TargetMode="External"/><Relationship Id="rId332" Type="http://schemas.openxmlformats.org/officeDocument/2006/relationships/hyperlink" Target="https://www.wantedly.com/projects/447079" TargetMode="External"/><Relationship Id="rId353" Type="http://schemas.openxmlformats.org/officeDocument/2006/relationships/hyperlink" Target="https://www.linkedin.com/jobs/cap/view/1836957391/" TargetMode="External"/><Relationship Id="rId374" Type="http://schemas.openxmlformats.org/officeDocument/2006/relationships/hyperlink" Target="http://www.cove.sg/" TargetMode="External"/><Relationship Id="rId395" Type="http://schemas.openxmlformats.org/officeDocument/2006/relationships/hyperlink" Target="https://opinionsmatter.typeform.com/to/kpm5HN" TargetMode="External"/><Relationship Id="rId409" Type="http://schemas.openxmlformats.org/officeDocument/2006/relationships/hyperlink" Target="https://docs.google.com/forms/d/e/1FAIpQLScH4Vul7IJLomAzn995_spWlqtnC6HZ-gy6i-vxPh8bzSNfZw/viewform" TargetMode="External"/><Relationship Id="rId71" Type="http://schemas.openxmlformats.org/officeDocument/2006/relationships/hyperlink" Target="https://www.circles.life/sg/job-board/?gh_jid=4529490002" TargetMode="External"/><Relationship Id="rId92" Type="http://schemas.openxmlformats.org/officeDocument/2006/relationships/hyperlink" Target="https://www.techinasia.com/jobs/9c97b3d3-98c3-4eb0-972c-17e2db653931" TargetMode="External"/><Relationship Id="rId213" Type="http://schemas.openxmlformats.org/officeDocument/2006/relationships/hyperlink" Target="http://www.duanyam.com/" TargetMode="External"/><Relationship Id="rId234" Type="http://schemas.openxmlformats.org/officeDocument/2006/relationships/hyperlink" Target="https://boards.greenhouse.io/dkatalislabs/jobs/4024365003" TargetMode="External"/><Relationship Id="rId420" Type="http://schemas.openxmlformats.org/officeDocument/2006/relationships/hyperlink" Target="http://www.izeno.com/" TargetMode="External"/><Relationship Id="rId2" Type="http://schemas.openxmlformats.org/officeDocument/2006/relationships/hyperlink" Target="https://www.jobstreet.com.sg/en/job/senior-product-engineer-7856113" TargetMode="External"/><Relationship Id="rId29" Type="http://schemas.openxmlformats.org/officeDocument/2006/relationships/hyperlink" Target="https://www.jobstreet.com.sg/en/job-search/sgcm-jobs/?ojs=2" TargetMode="External"/><Relationship Id="rId255" Type="http://schemas.openxmlformats.org/officeDocument/2006/relationships/hyperlink" Target="https://shopline.my/" TargetMode="External"/><Relationship Id="rId276" Type="http://schemas.openxmlformats.org/officeDocument/2006/relationships/hyperlink" Target="mailto:huiyi.wang@lazada.com" TargetMode="External"/><Relationship Id="rId297" Type="http://schemas.openxmlformats.org/officeDocument/2006/relationships/hyperlink" Target="https://vcf.mycareersfuture.sg/vcf/ict_professionals_apr20/job/MCF-2020-0035874" TargetMode="External"/><Relationship Id="rId40" Type="http://schemas.openxmlformats.org/officeDocument/2006/relationships/hyperlink" Target="http://www.reach52.com/" TargetMode="External"/><Relationship Id="rId115" Type="http://schemas.openxmlformats.org/officeDocument/2006/relationships/hyperlink" Target="https://homage.recruitee.com/o/head-of-inside-sales-manager-role-available" TargetMode="External"/><Relationship Id="rId136" Type="http://schemas.openxmlformats.org/officeDocument/2006/relationships/hyperlink" Target="https://www.linkedin.com/jobs/view/1783875400" TargetMode="External"/><Relationship Id="rId157" Type="http://schemas.openxmlformats.org/officeDocument/2006/relationships/hyperlink" Target="https://www.smarttradzt.com/" TargetMode="External"/><Relationship Id="rId178" Type="http://schemas.openxmlformats.org/officeDocument/2006/relationships/hyperlink" Target="https://www.kalibrr.com/c/sehatq/jobs" TargetMode="External"/><Relationship Id="rId301" Type="http://schemas.openxmlformats.org/officeDocument/2006/relationships/hyperlink" Target="https://vcf.mycareersfuture.sg/vcf/ict_professionals_apr20/job/MCF-2020-0036061" TargetMode="External"/><Relationship Id="rId322" Type="http://schemas.openxmlformats.org/officeDocument/2006/relationships/hyperlink" Target="mailto:hr@velotrade.com" TargetMode="External"/><Relationship Id="rId343" Type="http://schemas.openxmlformats.org/officeDocument/2006/relationships/hyperlink" Target="mailto:info@riseandshine-expo.com" TargetMode="External"/><Relationship Id="rId364" Type="http://schemas.openxmlformats.org/officeDocument/2006/relationships/hyperlink" Target="https://secretlab.sg/pages/careers" TargetMode="External"/><Relationship Id="rId61" Type="http://schemas.openxmlformats.org/officeDocument/2006/relationships/hyperlink" Target="https://stashaway-jobs.personio.de/job/137690" TargetMode="External"/><Relationship Id="rId82" Type="http://schemas.openxmlformats.org/officeDocument/2006/relationships/hyperlink" Target="https://gudangada.urbanhire.com/" TargetMode="External"/><Relationship Id="rId199" Type="http://schemas.openxmlformats.org/officeDocument/2006/relationships/hyperlink" Target="https://www.kalibrr.id/c/zenius-education/jobs/152171/head-of-social-media-and-content-marketing?similar_job_code=0&amp;job_ref=&amp;app_source=company-page" TargetMode="External"/><Relationship Id="rId203" Type="http://schemas.openxmlformats.org/officeDocument/2006/relationships/hyperlink" Target="https://worq.space/coworking-space/subang/" TargetMode="External"/><Relationship Id="rId385" Type="http://schemas.openxmlformats.org/officeDocument/2006/relationships/hyperlink" Target="https://job.toutiao.com/s/Kn8Pr6" TargetMode="External"/><Relationship Id="rId19" Type="http://schemas.openxmlformats.org/officeDocument/2006/relationships/hyperlink" Target="https://lnkd.in/fYKJh5c" TargetMode="External"/><Relationship Id="rId224" Type="http://schemas.openxmlformats.org/officeDocument/2006/relationships/hyperlink" Target="https://www.foodpanda.sg/contents/jobs?gh_jid=2044341" TargetMode="External"/><Relationship Id="rId245" Type="http://schemas.openxmlformats.org/officeDocument/2006/relationships/hyperlink" Target="http://shipper.id/" TargetMode="External"/><Relationship Id="rId266" Type="http://schemas.openxmlformats.org/officeDocument/2006/relationships/hyperlink" Target="https://grnh.se/f753b52b1us" TargetMode="External"/><Relationship Id="rId287" Type="http://schemas.openxmlformats.org/officeDocument/2006/relationships/hyperlink" Target="https://www.linkedin.com/company/ayopop/" TargetMode="External"/><Relationship Id="rId410" Type="http://schemas.openxmlformats.org/officeDocument/2006/relationships/hyperlink" Target="https://docs.google.com/forms/d/e/1FAIpQLScH4Vul7IJLomAzn995_spWlqtnC6HZ-gy6i-vxPh8bzSNfZw/viewform" TargetMode="External"/><Relationship Id="rId431" Type="http://schemas.openxmlformats.org/officeDocument/2006/relationships/hyperlink" Target="https://infradigital.io/career" TargetMode="External"/><Relationship Id="rId30" Type="http://schemas.openxmlformats.org/officeDocument/2006/relationships/hyperlink" Target="http://www.heveaconnect.com/" TargetMode="External"/><Relationship Id="rId105" Type="http://schemas.openxmlformats.org/officeDocument/2006/relationships/hyperlink" Target="https://fsmk.bamboohr.com/jobs/view.php?id=214" TargetMode="External"/><Relationship Id="rId126" Type="http://schemas.openxmlformats.org/officeDocument/2006/relationships/hyperlink" Target="https://cialfo.bamboohr.com/jobs/view.php?id=60" TargetMode="External"/><Relationship Id="rId147" Type="http://schemas.openxmlformats.org/officeDocument/2006/relationships/hyperlink" Target="https://www.secureage.com/about/careers/singapore/mac-osx-device-driver-developer/" TargetMode="External"/><Relationship Id="rId168" Type="http://schemas.openxmlformats.org/officeDocument/2006/relationships/hyperlink" Target="https://career.catapa.com/konvergenai/99a23eb8-a3ac-4028-a676-f4622defec05" TargetMode="External"/><Relationship Id="rId312" Type="http://schemas.openxmlformats.org/officeDocument/2006/relationships/hyperlink" Target="mailto:mtay@tripadvisor.com" TargetMode="External"/><Relationship Id="rId333" Type="http://schemas.openxmlformats.org/officeDocument/2006/relationships/hyperlink" Target="https://www.wantedly.com/projects/440889" TargetMode="External"/><Relationship Id="rId354" Type="http://schemas.openxmlformats.org/officeDocument/2006/relationships/hyperlink" Target="https://www.indeedjobs.com/sky-magic-pte-ltd/jobs/76176320c1891d7227fd" TargetMode="External"/><Relationship Id="rId51" Type="http://schemas.openxmlformats.org/officeDocument/2006/relationships/hyperlink" Target="https://www.antler.co/singapore" TargetMode="External"/><Relationship Id="rId72" Type="http://schemas.openxmlformats.org/officeDocument/2006/relationships/hyperlink" Target="https://www.circles.life/sg/job-board/?gh_jid=4678560002" TargetMode="External"/><Relationship Id="rId93" Type="http://schemas.openxmlformats.org/officeDocument/2006/relationships/hyperlink" Target="https://www.techinasia.com/jobs/7d075521-39cb-4376-8eb7-a48d9b8ed495" TargetMode="External"/><Relationship Id="rId189" Type="http://schemas.openxmlformats.org/officeDocument/2006/relationships/hyperlink" Target="https://apply.workable.com/inmagine/j/04977E3A36/" TargetMode="External"/><Relationship Id="rId375" Type="http://schemas.openxmlformats.org/officeDocument/2006/relationships/hyperlink" Target="http://www.cove.sg/" TargetMode="External"/><Relationship Id="rId396" Type="http://schemas.openxmlformats.org/officeDocument/2006/relationships/hyperlink" Target="https://www.google.com/url?q=https://snapask.com/&amp;sa=D&amp;ust=1589428617362000&amp;usg=AFQjCNFoi7PKkf6lP24ZPcmnVzv8e_cj9A" TargetMode="External"/><Relationship Id="rId3" Type="http://schemas.openxmlformats.org/officeDocument/2006/relationships/hyperlink" Target="https://www.jobstreet.com.sg/en/job/senior-technician-technician-7851928" TargetMode="External"/><Relationship Id="rId214" Type="http://schemas.openxmlformats.org/officeDocument/2006/relationships/hyperlink" Target="https://networkguard.com/careers/product-management/product-manager-all-levels-apps-and-website-hong-kong-or-singapore/" TargetMode="External"/><Relationship Id="rId235" Type="http://schemas.openxmlformats.org/officeDocument/2006/relationships/hyperlink" Target="https://boards.greenhouse.io/dkatalislabs/jobs/4046298003" TargetMode="External"/><Relationship Id="rId256" Type="http://schemas.openxmlformats.org/officeDocument/2006/relationships/hyperlink" Target="https://shopline.my/" TargetMode="External"/><Relationship Id="rId277" Type="http://schemas.openxmlformats.org/officeDocument/2006/relationships/hyperlink" Target="https://www.lazada.com/en/careers/job-description/GP626124/" TargetMode="External"/><Relationship Id="rId298" Type="http://schemas.openxmlformats.org/officeDocument/2006/relationships/hyperlink" Target="https://vcf.mycareersfuture.sg/vcf/ict_professionals_apr20/job/MCF-2020-0053644" TargetMode="External"/><Relationship Id="rId400" Type="http://schemas.openxmlformats.org/officeDocument/2006/relationships/hyperlink" Target="https://www.techinasia.com/jobs/b6bdfbaf-2d44-4db9-a044-c19c71be81d5" TargetMode="External"/><Relationship Id="rId421" Type="http://schemas.openxmlformats.org/officeDocument/2006/relationships/hyperlink" Target="http://storial.co/" TargetMode="External"/><Relationship Id="rId116" Type="http://schemas.openxmlformats.org/officeDocument/2006/relationships/hyperlink" Target="https://homage.recruitee.com/o/director-of-partner-account-management" TargetMode="External"/><Relationship Id="rId137" Type="http://schemas.openxmlformats.org/officeDocument/2006/relationships/hyperlink" Target="http://mamikos.com/" TargetMode="External"/><Relationship Id="rId158" Type="http://schemas.openxmlformats.org/officeDocument/2006/relationships/hyperlink" Target="https://www.smarttradzt.com/" TargetMode="External"/><Relationship Id="rId302" Type="http://schemas.openxmlformats.org/officeDocument/2006/relationships/hyperlink" Target="http://telunjuk.com/" TargetMode="External"/><Relationship Id="rId323" Type="http://schemas.openxmlformats.org/officeDocument/2006/relationships/hyperlink" Target="https://www.linkedin.com/jobs/cap/view/1694639340/?pathWildcard=1694639340&amp;trk=mcm" TargetMode="External"/><Relationship Id="rId344" Type="http://schemas.openxmlformats.org/officeDocument/2006/relationships/hyperlink" Target="http://welovesupermom.com/" TargetMode="External"/><Relationship Id="rId20" Type="http://schemas.openxmlformats.org/officeDocument/2006/relationships/hyperlink" Target="http://www.futurelabs.vc/" TargetMode="External"/><Relationship Id="rId41" Type="http://schemas.openxmlformats.org/officeDocument/2006/relationships/hyperlink" Target="http://www.reach52.com/" TargetMode="External"/><Relationship Id="rId62" Type="http://schemas.openxmlformats.org/officeDocument/2006/relationships/hyperlink" Target="https://stashaway-jobs.personio.de/job/107448" TargetMode="External"/><Relationship Id="rId83" Type="http://schemas.openxmlformats.org/officeDocument/2006/relationships/hyperlink" Target="https://gudangada.urbanhire.com/" TargetMode="External"/><Relationship Id="rId179" Type="http://schemas.openxmlformats.org/officeDocument/2006/relationships/hyperlink" Target="http://sehatq.com/" TargetMode="External"/><Relationship Id="rId365" Type="http://schemas.openxmlformats.org/officeDocument/2006/relationships/hyperlink" Target="https://secretlab.sg/pages/careers" TargetMode="External"/><Relationship Id="rId386" Type="http://schemas.openxmlformats.org/officeDocument/2006/relationships/hyperlink" Target="https://job.toutiao.com/s/KtomQq" TargetMode="External"/><Relationship Id="rId190" Type="http://schemas.openxmlformats.org/officeDocument/2006/relationships/hyperlink" Target="https://apply.workable.com/inmagine/j/FDD14B4151/" TargetMode="External"/><Relationship Id="rId204" Type="http://schemas.openxmlformats.org/officeDocument/2006/relationships/hyperlink" Target="https://jobs.nimblehq.co/o/technical-product-owner-11?source=sea" TargetMode="External"/><Relationship Id="rId225" Type="http://schemas.openxmlformats.org/officeDocument/2006/relationships/hyperlink" Target="https://www.foodpanda.sg/contents/jobs?gh_jid=2160575" TargetMode="External"/><Relationship Id="rId246" Type="http://schemas.openxmlformats.org/officeDocument/2006/relationships/hyperlink" Target="https://shipper.freshteam.com/jobs" TargetMode="External"/><Relationship Id="rId267" Type="http://schemas.openxmlformats.org/officeDocument/2006/relationships/hyperlink" Target="https://angel.co/l/2myj17" TargetMode="External"/><Relationship Id="rId288" Type="http://schemas.openxmlformats.org/officeDocument/2006/relationships/hyperlink" Target="http://tinyurl.com/qoan9c6" TargetMode="External"/><Relationship Id="rId411" Type="http://schemas.openxmlformats.org/officeDocument/2006/relationships/hyperlink" Target="https://docs.google.com/forms/d/e/1FAIpQLScH4Vul7IJLomAzn995_spWlqtnC6HZ-gy6i-vxPh8bzSNfZw/viewform" TargetMode="External"/><Relationship Id="rId432" Type="http://schemas.openxmlformats.org/officeDocument/2006/relationships/hyperlink" Target="https://infradigital.io/career" TargetMode="External"/><Relationship Id="rId106" Type="http://schemas.openxmlformats.org/officeDocument/2006/relationships/hyperlink" Target="https://homage.recruitee.com/" TargetMode="External"/><Relationship Id="rId127" Type="http://schemas.openxmlformats.org/officeDocument/2006/relationships/hyperlink" Target="https://fsmk.bamboohr.com/jobs/view.php?id=154" TargetMode="External"/><Relationship Id="rId313" Type="http://schemas.openxmlformats.org/officeDocument/2006/relationships/hyperlink" Target="https://careers.tripadvisor.com/job/TRINUS2163399/Visual-Designer" TargetMode="External"/><Relationship Id="rId10" Type="http://schemas.openxmlformats.org/officeDocument/2006/relationships/hyperlink" Target="https://www.glassdoor.sg/job-listing/cloud-infrastructure-engineer-the-talent-shark-JV_IC3235921_KO0,29_KE30,46.htm?jl=3543651734" TargetMode="External"/><Relationship Id="rId31" Type="http://schemas.openxmlformats.org/officeDocument/2006/relationships/hyperlink" Target="https://www.linkedin.com/jobs/view/software-engineer-front-end-at-heveaconnect-1784053099" TargetMode="External"/><Relationship Id="rId52" Type="http://schemas.openxmlformats.org/officeDocument/2006/relationships/hyperlink" Target="https://executivedeeptech.com/" TargetMode="External"/><Relationship Id="rId73" Type="http://schemas.openxmlformats.org/officeDocument/2006/relationships/hyperlink" Target="https://www.circles.life/sg/job-board/?gh_jid=4687045002" TargetMode="External"/><Relationship Id="rId94" Type="http://schemas.openxmlformats.org/officeDocument/2006/relationships/hyperlink" Target="https://www.techinasia.com/jobs/2990797d-a63c-4769-a57d-c0ad1a2a1481" TargetMode="External"/><Relationship Id="rId148" Type="http://schemas.openxmlformats.org/officeDocument/2006/relationships/hyperlink" Target="https://www.secureage.com/about/careers/singapore/software-engineer/" TargetMode="External"/><Relationship Id="rId169" Type="http://schemas.openxmlformats.org/officeDocument/2006/relationships/hyperlink" Target="http://binary.com/en/careers.html" TargetMode="External"/><Relationship Id="rId334" Type="http://schemas.openxmlformats.org/officeDocument/2006/relationships/hyperlink" Target="https://www.wantedly.com/projects/441030" TargetMode="External"/><Relationship Id="rId355" Type="http://schemas.openxmlformats.org/officeDocument/2006/relationships/hyperlink" Target="https://www.jobstreet.com.sg/en/job/7905996/sources/2" TargetMode="External"/><Relationship Id="rId376" Type="http://schemas.openxmlformats.org/officeDocument/2006/relationships/hyperlink" Target="http://www.cove.sg/careers" TargetMode="External"/><Relationship Id="rId397" Type="http://schemas.openxmlformats.org/officeDocument/2006/relationships/hyperlink" Target="https://opinionsmatter.typeform.com/to/TJe0is" TargetMode="External"/><Relationship Id="rId4" Type="http://schemas.openxmlformats.org/officeDocument/2006/relationships/hyperlink" Target="https://www.jobstreet.com.sg/en/job/business-analyst-7861297" TargetMode="External"/><Relationship Id="rId180" Type="http://schemas.openxmlformats.org/officeDocument/2006/relationships/hyperlink" Target="https://www.kalibrr.com/c/sehatq/jobs" TargetMode="External"/><Relationship Id="rId215" Type="http://schemas.openxmlformats.org/officeDocument/2006/relationships/hyperlink" Target="https://networkguard.com/careers/information-technology/lead-cloud-automation-engineer-singapore-or-hong-kong/" TargetMode="External"/><Relationship Id="rId236" Type="http://schemas.openxmlformats.org/officeDocument/2006/relationships/hyperlink" Target="https://boards.greenhouse.io/dkatalislabs/jobs/4022227003" TargetMode="External"/><Relationship Id="rId257" Type="http://schemas.openxmlformats.org/officeDocument/2006/relationships/hyperlink" Target="https://www.glassdoor.sg/job-listing/junior-frontend-developer-shipsfocus-JV_IC3235921_KO0,25_KE26,36.htm?jl=3520882015&amp;sbPid=607735" TargetMode="External"/><Relationship Id="rId278" Type="http://schemas.openxmlformats.org/officeDocument/2006/relationships/hyperlink" Target="mailto:huiyi.wang@lazada.com" TargetMode="External"/><Relationship Id="rId401" Type="http://schemas.openxmlformats.org/officeDocument/2006/relationships/hyperlink" Target="https://etonhouse.recruiterpal.com/career/jobs/2vd92" TargetMode="External"/><Relationship Id="rId422" Type="http://schemas.openxmlformats.org/officeDocument/2006/relationships/hyperlink" Target="https://careers.zalora.com/jobs/ux-designer/jBsAwpiZqB/" TargetMode="External"/><Relationship Id="rId303" Type="http://schemas.openxmlformats.org/officeDocument/2006/relationships/hyperlink" Target="http://telunjuk.com/" TargetMode="External"/><Relationship Id="rId42" Type="http://schemas.openxmlformats.org/officeDocument/2006/relationships/hyperlink" Target="http://armillary.io/" TargetMode="External"/><Relationship Id="rId84" Type="http://schemas.openxmlformats.org/officeDocument/2006/relationships/hyperlink" Target="https://gudangada.urbanhire.com/" TargetMode="External"/><Relationship Id="rId138" Type="http://schemas.openxmlformats.org/officeDocument/2006/relationships/hyperlink" Target="https://www.linkedin.com/jobs/view/1782543388" TargetMode="External"/><Relationship Id="rId345" Type="http://schemas.openxmlformats.org/officeDocument/2006/relationships/hyperlink" Target="http://welovesupermom.com/" TargetMode="External"/><Relationship Id="rId387" Type="http://schemas.openxmlformats.org/officeDocument/2006/relationships/hyperlink" Target="https://job.toutiao.com/s/KtEJux" TargetMode="External"/><Relationship Id="rId191" Type="http://schemas.openxmlformats.org/officeDocument/2006/relationships/hyperlink" Target="https://apply.workable.com/inmagine/j/C4767B785C/" TargetMode="External"/><Relationship Id="rId205" Type="http://schemas.openxmlformats.org/officeDocument/2006/relationships/hyperlink" Target="https://jobs.nimblehq.co/o/senior-uxui-designer-8?source=sea" TargetMode="External"/><Relationship Id="rId247" Type="http://schemas.openxmlformats.org/officeDocument/2006/relationships/hyperlink" Target="http://shipper.id/" TargetMode="External"/><Relationship Id="rId412" Type="http://schemas.openxmlformats.org/officeDocument/2006/relationships/hyperlink" Target="https://docs.google.com/forms/d/e/1FAIpQLScH4Vul7IJLomAzn995_spWlqtnC6HZ-gy6i-vxPh8bzSNfZw/viewform" TargetMode="External"/><Relationship Id="rId107" Type="http://schemas.openxmlformats.org/officeDocument/2006/relationships/hyperlink" Target="https://www.reap.global/careers" TargetMode="External"/><Relationship Id="rId289" Type="http://schemas.openxmlformats.org/officeDocument/2006/relationships/hyperlink" Target="http://tinyurl.com/rpzo7j6" TargetMode="External"/><Relationship Id="rId11" Type="http://schemas.openxmlformats.org/officeDocument/2006/relationships/hyperlink" Target="https://www.linkedin.com/posts/activity-6635577608199335936-Y43E" TargetMode="External"/><Relationship Id="rId53" Type="http://schemas.openxmlformats.org/officeDocument/2006/relationships/hyperlink" Target="https://web.aghrm.com/" TargetMode="External"/><Relationship Id="rId149" Type="http://schemas.openxmlformats.org/officeDocument/2006/relationships/hyperlink" Target="https://startupjobs.xyz/sales-associate-776" TargetMode="External"/><Relationship Id="rId314" Type="http://schemas.openxmlformats.org/officeDocument/2006/relationships/hyperlink" Target="mailto:mtay@tripadvisor.com" TargetMode="External"/><Relationship Id="rId356" Type="http://schemas.openxmlformats.org/officeDocument/2006/relationships/hyperlink" Target="https://www.jobstreet.com.sg/en/job/7906001/sources/2" TargetMode="External"/><Relationship Id="rId398" Type="http://schemas.openxmlformats.org/officeDocument/2006/relationships/hyperlink" Target="https://www.google.com/url?q=https://snapask.com/&amp;sa=D&amp;ust=1589428617362000&amp;usg=AFQjCNFoi7PKkf6lP24ZPcmnVzv8e_cj9A" TargetMode="External"/><Relationship Id="rId95" Type="http://schemas.openxmlformats.org/officeDocument/2006/relationships/hyperlink" Target="https://www.connectone.com.sg/head-of-marketing-my-sports-lifestyle" TargetMode="External"/><Relationship Id="rId160" Type="http://schemas.openxmlformats.org/officeDocument/2006/relationships/hyperlink" Target="https://www.smarttradzt.com/" TargetMode="External"/><Relationship Id="rId216" Type="http://schemas.openxmlformats.org/officeDocument/2006/relationships/hyperlink" Target="https://networkguard.com/careers/software-development/software-development-lead-consumer-apps-hong-kong/" TargetMode="External"/><Relationship Id="rId423" Type="http://schemas.openxmlformats.org/officeDocument/2006/relationships/hyperlink" Target="mailto:talent@99.co" TargetMode="External"/><Relationship Id="rId258" Type="http://schemas.openxmlformats.org/officeDocument/2006/relationships/hyperlink" Target="mailto:hr@shipsfocus.com" TargetMode="External"/><Relationship Id="rId22" Type="http://schemas.openxmlformats.org/officeDocument/2006/relationships/hyperlink" Target="http://www.futurelabs.vc/" TargetMode="External"/><Relationship Id="rId64" Type="http://schemas.openxmlformats.org/officeDocument/2006/relationships/hyperlink" Target="https://stashaway-jobs.personio.de/job/183646" TargetMode="External"/><Relationship Id="rId118" Type="http://schemas.openxmlformats.org/officeDocument/2006/relationships/hyperlink" Target="https://homage.recruitee.com/o/pr-marketing-lead" TargetMode="External"/><Relationship Id="rId325" Type="http://schemas.openxmlformats.org/officeDocument/2006/relationships/hyperlink" Target="http://www.carer.com.sg/" TargetMode="External"/><Relationship Id="rId367" Type="http://schemas.openxmlformats.org/officeDocument/2006/relationships/hyperlink" Target="https://secretlab.sg/pages/careers" TargetMode="External"/><Relationship Id="rId171" Type="http://schemas.openxmlformats.org/officeDocument/2006/relationships/hyperlink" Target="http://binary.com/en/careers.html" TargetMode="External"/><Relationship Id="rId227" Type="http://schemas.openxmlformats.org/officeDocument/2006/relationships/hyperlink" Target="https://fling.asia/" TargetMode="External"/><Relationship Id="rId269" Type="http://schemas.openxmlformats.org/officeDocument/2006/relationships/hyperlink" Target="mailto:maurice.l@pandora.net" TargetMode="External"/><Relationship Id="rId434" Type="http://schemas.openxmlformats.org/officeDocument/2006/relationships/hyperlink" Target="http://approvd.ai/" TargetMode="External"/><Relationship Id="rId33" Type="http://schemas.openxmlformats.org/officeDocument/2006/relationships/hyperlink" Target="https://www.linkedin.com/jobs/view/software-engineer-mobile-at-heveaconnect-1784052929" TargetMode="External"/><Relationship Id="rId129" Type="http://schemas.openxmlformats.org/officeDocument/2006/relationships/hyperlink" Target="https://fsmk.bamboohr.com/jobs/view.php?id=78" TargetMode="External"/><Relationship Id="rId280" Type="http://schemas.openxmlformats.org/officeDocument/2006/relationships/hyperlink" Target="mailto:shireen.ng@lazada.com" TargetMode="External"/><Relationship Id="rId336" Type="http://schemas.openxmlformats.org/officeDocument/2006/relationships/hyperlink" Target="https://www.wantedly.com/projects/439410" TargetMode="External"/><Relationship Id="rId75" Type="http://schemas.openxmlformats.org/officeDocument/2006/relationships/hyperlink" Target="https://www.circles.life/sg/job-board/?gh_jid=4660151002" TargetMode="External"/><Relationship Id="rId140" Type="http://schemas.openxmlformats.org/officeDocument/2006/relationships/hyperlink" Target="https://www.linkedin.com/jobs/view/1774429712" TargetMode="External"/><Relationship Id="rId182" Type="http://schemas.openxmlformats.org/officeDocument/2006/relationships/hyperlink" Target="https://www.kalibrr.com/c/sehatq/jobs" TargetMode="External"/><Relationship Id="rId378" Type="http://schemas.openxmlformats.org/officeDocument/2006/relationships/hyperlink" Target="http://ewideplus.com/" TargetMode="External"/><Relationship Id="rId403" Type="http://schemas.openxmlformats.org/officeDocument/2006/relationships/hyperlink" Target="https://hire.withgoogle.com/public/jobs/shopbackcom/view/P_AAAAAACAAIiFTrRfqweFky" TargetMode="External"/><Relationship Id="rId6" Type="http://schemas.openxmlformats.org/officeDocument/2006/relationships/hyperlink" Target="https://www.jobstreet.com.sg/en/job/channel-partner-manager-7838254" TargetMode="External"/><Relationship Id="rId238" Type="http://schemas.openxmlformats.org/officeDocument/2006/relationships/hyperlink" Target="https://shipper.freshteam.com/jobs" TargetMode="External"/><Relationship Id="rId291" Type="http://schemas.openxmlformats.org/officeDocument/2006/relationships/hyperlink" Target="http://tinyurl.com/yjelth54" TargetMode="External"/><Relationship Id="rId305" Type="http://schemas.openxmlformats.org/officeDocument/2006/relationships/hyperlink" Target="https://careers.tripadvisor.com/job/TRINUS2163395/Associate-Visual-Designer" TargetMode="External"/><Relationship Id="rId347" Type="http://schemas.openxmlformats.org/officeDocument/2006/relationships/hyperlink" Target="https://aspirealliance.com.sg/careers/" TargetMode="External"/><Relationship Id="rId44" Type="http://schemas.openxmlformats.org/officeDocument/2006/relationships/hyperlink" Target="http://armillary.io/" TargetMode="External"/><Relationship Id="rId86" Type="http://schemas.openxmlformats.org/officeDocument/2006/relationships/hyperlink" Target="https://gudangada.urbanhire.com/" TargetMode="External"/><Relationship Id="rId151" Type="http://schemas.openxmlformats.org/officeDocument/2006/relationships/hyperlink" Target="https://www.secureage.com/about/careers/singapore/software-quality-assurance-engineer/" TargetMode="External"/><Relationship Id="rId389" Type="http://schemas.openxmlformats.org/officeDocument/2006/relationships/hyperlink" Target="http://www.thebalanceco.com/" TargetMode="External"/><Relationship Id="rId193" Type="http://schemas.openxmlformats.org/officeDocument/2006/relationships/hyperlink" Target="https://www.carsome.my/career_with_us" TargetMode="External"/><Relationship Id="rId207" Type="http://schemas.openxmlformats.org/officeDocument/2006/relationships/hyperlink" Target="https://jobs.nimblehq.co/o/business-development-executive-5?source=sea" TargetMode="External"/><Relationship Id="rId249" Type="http://schemas.openxmlformats.org/officeDocument/2006/relationships/hyperlink" Target="https://www.linkedin.com/jobs/cap/view/1793259757/?pathWildcard=1793259757&amp;trk=job_capjs" TargetMode="External"/><Relationship Id="rId414" Type="http://schemas.openxmlformats.org/officeDocument/2006/relationships/hyperlink" Target="https://www.wantedly.com/projects/459144" TargetMode="External"/><Relationship Id="rId13" Type="http://schemas.openxmlformats.org/officeDocument/2006/relationships/hyperlink" Target="https://lnkd.in/fCig_X2" TargetMode="External"/><Relationship Id="rId109" Type="http://schemas.openxmlformats.org/officeDocument/2006/relationships/hyperlink" Target="https://stripe.com/jobs/search?l=singapore" TargetMode="External"/><Relationship Id="rId260" Type="http://schemas.openxmlformats.org/officeDocument/2006/relationships/hyperlink" Target="https://janio.darwinbox.com/ms/candidate/careers/5e28197d7f704" TargetMode="External"/><Relationship Id="rId316" Type="http://schemas.openxmlformats.org/officeDocument/2006/relationships/hyperlink" Target="mailto:mtay@tripadvisor.com" TargetMode="External"/><Relationship Id="rId55" Type="http://schemas.openxmlformats.org/officeDocument/2006/relationships/hyperlink" Target="https://www.jobstreet.com.sg/en/job/7885791/sources/2" TargetMode="External"/><Relationship Id="rId97" Type="http://schemas.openxmlformats.org/officeDocument/2006/relationships/hyperlink" Target="https://www.connectone.com.sg/product-manager-my-wearables-startup" TargetMode="External"/><Relationship Id="rId120" Type="http://schemas.openxmlformats.org/officeDocument/2006/relationships/hyperlink" Target="http://www.call-levels.com/" TargetMode="External"/><Relationship Id="rId358" Type="http://schemas.openxmlformats.org/officeDocument/2006/relationships/hyperlink" Target="https://www.jobstreet.com.sg/en/job/7906013/sources/2" TargetMode="External"/><Relationship Id="rId162" Type="http://schemas.openxmlformats.org/officeDocument/2006/relationships/hyperlink" Target="http://www.bcgdv.com/" TargetMode="External"/><Relationship Id="rId218" Type="http://schemas.openxmlformats.org/officeDocument/2006/relationships/hyperlink" Target="https://networkguard.com/careers/information-technology/senior-operations-analyst-singapore-or-hong-kong/" TargetMode="External"/><Relationship Id="rId425" Type="http://schemas.openxmlformats.org/officeDocument/2006/relationships/hyperlink" Target="mailto:talent@99.co" TargetMode="External"/><Relationship Id="rId271" Type="http://schemas.openxmlformats.org/officeDocument/2006/relationships/hyperlink" Target="mailto:maurice.l@pandora.net" TargetMode="External"/><Relationship Id="rId24" Type="http://schemas.openxmlformats.org/officeDocument/2006/relationships/hyperlink" Target="http://www.crowde.co/" TargetMode="External"/><Relationship Id="rId66" Type="http://schemas.openxmlformats.org/officeDocument/2006/relationships/hyperlink" Target="https://jobs.lever.co/ninjavan/6f018173-e617-4626-af63-cc29f65e9d49" TargetMode="External"/><Relationship Id="rId131" Type="http://schemas.openxmlformats.org/officeDocument/2006/relationships/hyperlink" Target="http://mamikos.com/" TargetMode="External"/><Relationship Id="rId327" Type="http://schemas.openxmlformats.org/officeDocument/2006/relationships/hyperlink" Target="http://www.imotorbike.my/" TargetMode="External"/><Relationship Id="rId369" Type="http://schemas.openxmlformats.org/officeDocument/2006/relationships/hyperlink" Target="https://secretlab.sg/pages/careers" TargetMode="External"/><Relationship Id="rId173" Type="http://schemas.openxmlformats.org/officeDocument/2006/relationships/hyperlink" Target="http://binary.com/en/careers.html" TargetMode="External"/><Relationship Id="rId229" Type="http://schemas.openxmlformats.org/officeDocument/2006/relationships/hyperlink" Target="https://grnh.se/ec7057112us" TargetMode="External"/><Relationship Id="rId380" Type="http://schemas.openxmlformats.org/officeDocument/2006/relationships/hyperlink" Target="http://ewideplus.com/" TargetMode="External"/><Relationship Id="rId436" Type="http://schemas.openxmlformats.org/officeDocument/2006/relationships/hyperlink" Target="https://meetbutter.io/" TargetMode="External"/><Relationship Id="rId240" Type="http://schemas.openxmlformats.org/officeDocument/2006/relationships/hyperlink" Target="https://shipper.freshteam.com/jobs" TargetMode="External"/><Relationship Id="rId35" Type="http://schemas.openxmlformats.org/officeDocument/2006/relationships/hyperlink" Target="https://reapra.com/" TargetMode="External"/><Relationship Id="rId77" Type="http://schemas.openxmlformats.org/officeDocument/2006/relationships/hyperlink" Target="https://codapayments.bamboohr.com/jobs/view.php?id=51" TargetMode="External"/><Relationship Id="rId100" Type="http://schemas.openxmlformats.org/officeDocument/2006/relationships/hyperlink" Target="https://apply.workable.com/proxyclick/j/A25441B7AE/" TargetMode="External"/><Relationship Id="rId282" Type="http://schemas.openxmlformats.org/officeDocument/2006/relationships/hyperlink" Target="mailto:Wendy.zhong@lazada.com" TargetMode="External"/><Relationship Id="rId338" Type="http://schemas.openxmlformats.org/officeDocument/2006/relationships/hyperlink" Target="https://www.wantedly.com/projects/439479" TargetMode="External"/><Relationship Id="rId8" Type="http://schemas.openxmlformats.org/officeDocument/2006/relationships/hyperlink" Target="https://www.glassdoor.sg/job-listing/principal-iot-platform-security-architect-envision-group-JV_IC3235921_KO0,41_KE42,56.htm?jl=3543695426&amp;utm_medium=email&amp;utm_source=sharejob&amp;utm_campaign=sj-email&amp;utm_content=sharejob-email-sharedJob&amp;utm_term=" TargetMode="External"/><Relationship Id="rId142" Type="http://schemas.openxmlformats.org/officeDocument/2006/relationships/hyperlink" Target="https://www.linkedin.com/jobs/view/1780547554" TargetMode="External"/><Relationship Id="rId184" Type="http://schemas.openxmlformats.org/officeDocument/2006/relationships/hyperlink" Target="https://www.kalibrr.com/c/sehatq/jobs" TargetMode="External"/><Relationship Id="rId391" Type="http://schemas.openxmlformats.org/officeDocument/2006/relationships/hyperlink" Target="http://cashinasia.com/" TargetMode="External"/><Relationship Id="rId405" Type="http://schemas.openxmlformats.org/officeDocument/2006/relationships/hyperlink" Target="https://hire.withgoogle.com/public/jobs/shopbackcom/view/P_AAAAAACAAIiMLf7KjyueYz" TargetMode="External"/><Relationship Id="rId251" Type="http://schemas.openxmlformats.org/officeDocument/2006/relationships/hyperlink" Target="https://shopline.my/" TargetMode="External"/><Relationship Id="rId46" Type="http://schemas.openxmlformats.org/officeDocument/2006/relationships/hyperlink" Target="http://armillary.io/" TargetMode="External"/><Relationship Id="rId293" Type="http://schemas.openxmlformats.org/officeDocument/2006/relationships/hyperlink" Target="https://www.telunjuk.com/careers" TargetMode="External"/><Relationship Id="rId307" Type="http://schemas.openxmlformats.org/officeDocument/2006/relationships/hyperlink" Target="https://careers.tripadvisor.com/job/TRINUS2163461/Design-Director" TargetMode="External"/><Relationship Id="rId349" Type="http://schemas.openxmlformats.org/officeDocument/2006/relationships/hyperlink" Target="https://aspirealliance.com.sg/careers/" TargetMode="External"/><Relationship Id="rId88" Type="http://schemas.openxmlformats.org/officeDocument/2006/relationships/hyperlink" Target="https://id.indeed.com/job/high-pay-full-stack-developer-29b5b94f2d004cc9" TargetMode="External"/><Relationship Id="rId111" Type="http://schemas.openxmlformats.org/officeDocument/2006/relationships/hyperlink" Target="https://employers.indeed.com/j" TargetMode="External"/><Relationship Id="rId153" Type="http://schemas.openxmlformats.org/officeDocument/2006/relationships/hyperlink" Target="https://careers.bobobox.co.id/career/general/3-excellence-and-experience-manager" TargetMode="External"/><Relationship Id="rId195" Type="http://schemas.openxmlformats.org/officeDocument/2006/relationships/hyperlink" Target="https://www.carsome.my/career_with_us" TargetMode="External"/><Relationship Id="rId209" Type="http://schemas.openxmlformats.org/officeDocument/2006/relationships/hyperlink" Target="https://jobs.nimblehq.co/o/ios-developer-mid-senior-level-6?source=sea" TargetMode="External"/><Relationship Id="rId360" Type="http://schemas.openxmlformats.org/officeDocument/2006/relationships/hyperlink" Target="https://www.jobstreet.com.sg/en/job/7867043/sources/2" TargetMode="External"/><Relationship Id="rId416" Type="http://schemas.openxmlformats.org/officeDocument/2006/relationships/hyperlink" Target="http://www.izeno.com/" TargetMode="External"/><Relationship Id="rId220" Type="http://schemas.openxmlformats.org/officeDocument/2006/relationships/hyperlink" Target="mailto:rachma@fairtech.com.sg" TargetMode="External"/><Relationship Id="rId15" Type="http://schemas.openxmlformats.org/officeDocument/2006/relationships/hyperlink" Target="https://lnkd.in/f-jzVDt" TargetMode="External"/><Relationship Id="rId57" Type="http://schemas.openxmlformats.org/officeDocument/2006/relationships/hyperlink" Target="https://www.jobstreet.com.sg/en/job-search/carro-jobs/?ojs=2" TargetMode="External"/><Relationship Id="rId262" Type="http://schemas.openxmlformats.org/officeDocument/2006/relationships/hyperlink" Target="https://janio.darwinbox.com/ms/candidate/careers/5e38cf53e7743" TargetMode="External"/><Relationship Id="rId318" Type="http://schemas.openxmlformats.org/officeDocument/2006/relationships/hyperlink" Target="mailto:mtay@tripadvisor.com" TargetMode="External"/><Relationship Id="rId99" Type="http://schemas.openxmlformats.org/officeDocument/2006/relationships/hyperlink" Target="https://www.connectone.com.sg/account-manager-my-wearable-tech" TargetMode="External"/><Relationship Id="rId122" Type="http://schemas.openxmlformats.org/officeDocument/2006/relationships/hyperlink" Target="https://brank.as/about" TargetMode="External"/><Relationship Id="rId164" Type="http://schemas.openxmlformats.org/officeDocument/2006/relationships/hyperlink" Target="http://www.bcgdv.com/" TargetMode="External"/><Relationship Id="rId371" Type="http://schemas.openxmlformats.org/officeDocument/2006/relationships/hyperlink" Target="https://www.bittitan.com/our-story/careers/careers-detail?gh_jid=2172896" TargetMode="External"/><Relationship Id="rId427" Type="http://schemas.openxmlformats.org/officeDocument/2006/relationships/hyperlink" Target="http://www.cove.sg/" TargetMode="External"/><Relationship Id="rId26" Type="http://schemas.openxmlformats.org/officeDocument/2006/relationships/hyperlink" Target="http://www.sgcarmart.com/" TargetMode="External"/><Relationship Id="rId231" Type="http://schemas.openxmlformats.org/officeDocument/2006/relationships/hyperlink" Target="https://careers.shopee.sg/jobs/?region_id=1&amp;dept_id=108&amp;limit=20&amp;offset=0" TargetMode="External"/><Relationship Id="rId273" Type="http://schemas.openxmlformats.org/officeDocument/2006/relationships/hyperlink" Target="https://www.andafin.com/contact/" TargetMode="External"/><Relationship Id="rId329" Type="http://schemas.openxmlformats.org/officeDocument/2006/relationships/hyperlink" Target="https://www.wantedly.com/projects/448576" TargetMode="External"/><Relationship Id="rId68" Type="http://schemas.openxmlformats.org/officeDocument/2006/relationships/hyperlink" Target="https://careers.holistics.io/qo2h55/growth-hustler" TargetMode="External"/><Relationship Id="rId133" Type="http://schemas.openxmlformats.org/officeDocument/2006/relationships/hyperlink" Target="http://mamikos.com/" TargetMode="External"/><Relationship Id="rId175" Type="http://schemas.openxmlformats.org/officeDocument/2006/relationships/hyperlink" Target="http://sehatq.com/" TargetMode="External"/><Relationship Id="rId340" Type="http://schemas.openxmlformats.org/officeDocument/2006/relationships/hyperlink" Target="http://www.protocol.com.sg/" TargetMode="External"/><Relationship Id="rId200" Type="http://schemas.openxmlformats.org/officeDocument/2006/relationships/hyperlink" Target="https://www.kalibrr.id/c/zenius-education/jobs/150373/user-growth-analyst?similar_job_code=0&amp;job_ref=&amp;app_source=company-page" TargetMode="External"/><Relationship Id="rId382" Type="http://schemas.openxmlformats.org/officeDocument/2006/relationships/hyperlink" Target="https://www.wantedly.com/projects/453396" TargetMode="External"/><Relationship Id="rId438" Type="http://schemas.openxmlformats.org/officeDocument/2006/relationships/drawing" Target="../drawings/drawing1.xml"/><Relationship Id="rId242" Type="http://schemas.openxmlformats.org/officeDocument/2006/relationships/hyperlink" Target="https://shipper.freshteam.com/jobs" TargetMode="External"/><Relationship Id="rId284" Type="http://schemas.openxmlformats.org/officeDocument/2006/relationships/hyperlink" Target="mailto:Wendy.zhong@lazada.com" TargetMode="External"/><Relationship Id="rId37" Type="http://schemas.openxmlformats.org/officeDocument/2006/relationships/hyperlink" Target="https://garuda.io/job-openings/" TargetMode="External"/><Relationship Id="rId79" Type="http://schemas.openxmlformats.org/officeDocument/2006/relationships/hyperlink" Target="https://codapayments.bamboohr.com/jobs/" TargetMode="External"/><Relationship Id="rId102" Type="http://schemas.openxmlformats.org/officeDocument/2006/relationships/hyperlink" Target="https://www.carsome.my/career_with_us" TargetMode="External"/><Relationship Id="rId144" Type="http://schemas.openxmlformats.org/officeDocument/2006/relationships/hyperlink" Target="https://hire.withgoogle.com/public/jobs/xenditco/view/P_AAAAAAEAAE9Ba2lnedTRA2" TargetMode="External"/><Relationship Id="rId90" Type="http://schemas.openxmlformats.org/officeDocument/2006/relationships/hyperlink" Target="https://jobs.blognone.com/company/gowabi/job/ios-developer-junio-9vtm" TargetMode="External"/><Relationship Id="rId186" Type="http://schemas.openxmlformats.org/officeDocument/2006/relationships/hyperlink" Target="https://www.infinitilab.com/web-developer/" TargetMode="External"/><Relationship Id="rId351" Type="http://schemas.openxmlformats.org/officeDocument/2006/relationships/hyperlink" Target="https://aspirealliance.com.sg/careers/" TargetMode="External"/><Relationship Id="rId393" Type="http://schemas.openxmlformats.org/officeDocument/2006/relationships/hyperlink" Target="https://opinionsmatter.typeform.com/to/FjbZn4" TargetMode="External"/><Relationship Id="rId407" Type="http://schemas.openxmlformats.org/officeDocument/2006/relationships/hyperlink" Target="https://apply.workable.com/ice-house-1/j/A09AD9D454/" TargetMode="External"/><Relationship Id="rId211" Type="http://schemas.openxmlformats.org/officeDocument/2006/relationships/hyperlink" Target="https://angel.co/company/siklus/jobs/762519-cto-co-founder" TargetMode="External"/><Relationship Id="rId253" Type="http://schemas.openxmlformats.org/officeDocument/2006/relationships/hyperlink" Target="https://shopline.my/" TargetMode="External"/><Relationship Id="rId295" Type="http://schemas.openxmlformats.org/officeDocument/2006/relationships/hyperlink" Target="https://www.telunjuk.com/careers" TargetMode="External"/><Relationship Id="rId309" Type="http://schemas.openxmlformats.org/officeDocument/2006/relationships/hyperlink" Target="https://careers.tripadvisor.com/job/TRINUS2163435/UX-Designer" TargetMode="External"/><Relationship Id="rId48" Type="http://schemas.openxmlformats.org/officeDocument/2006/relationships/hyperlink" Target="https://careers.smartrecruiters.com/armillary" TargetMode="External"/><Relationship Id="rId113" Type="http://schemas.openxmlformats.org/officeDocument/2006/relationships/hyperlink" Target="https://homage.recruitee.com/o/chief-commercial-officer" TargetMode="External"/><Relationship Id="rId320" Type="http://schemas.openxmlformats.org/officeDocument/2006/relationships/hyperlink" Target="mailto:nanda@lendeast.com" TargetMode="External"/><Relationship Id="rId155" Type="http://schemas.openxmlformats.org/officeDocument/2006/relationships/hyperlink" Target="https://careers.bobobox.co.id/career/general/2-head-of-accounting-and-finance" TargetMode="External"/><Relationship Id="rId197" Type="http://schemas.openxmlformats.org/officeDocument/2006/relationships/hyperlink" Target="https://www.carsome.my/career_with_us" TargetMode="External"/><Relationship Id="rId362" Type="http://schemas.openxmlformats.org/officeDocument/2006/relationships/hyperlink" Target="https://www.linkedin.com/jobs/view/1831389507" TargetMode="External"/><Relationship Id="rId418" Type="http://schemas.openxmlformats.org/officeDocument/2006/relationships/hyperlink" Target="http://www.izeno.com/" TargetMode="External"/><Relationship Id="rId222" Type="http://schemas.openxmlformats.org/officeDocument/2006/relationships/hyperlink" Target="https://www.foodpanda.sg/contents/jobs?gh_jid=1673117" TargetMode="External"/><Relationship Id="rId264" Type="http://schemas.openxmlformats.org/officeDocument/2006/relationships/hyperlink" Target="https://janio.darwinbox.com/ms/candidate/careers/5e330f2dd285f" TargetMode="External"/><Relationship Id="rId17" Type="http://schemas.openxmlformats.org/officeDocument/2006/relationships/hyperlink" Target="https://lnkd.in/fCY86ZJ" TargetMode="External"/><Relationship Id="rId59" Type="http://schemas.openxmlformats.org/officeDocument/2006/relationships/hyperlink" Target="https://www.wantedly.com/projects/427601" TargetMode="External"/><Relationship Id="rId124" Type="http://schemas.openxmlformats.org/officeDocument/2006/relationships/hyperlink" Target="https://cialfo.bamboohr.com/jobs/view.php?id=61" TargetMode="External"/><Relationship Id="rId70" Type="http://schemas.openxmlformats.org/officeDocument/2006/relationships/hyperlink" Target="https://www.circles.life/sg/job-board/?gh_jid=4699885002" TargetMode="External"/><Relationship Id="rId166" Type="http://schemas.openxmlformats.org/officeDocument/2006/relationships/hyperlink" Target="http://www.bcgdv.com/" TargetMode="External"/><Relationship Id="rId331" Type="http://schemas.openxmlformats.org/officeDocument/2006/relationships/hyperlink" Target="https://www.wantedly.com/projects/447120" TargetMode="External"/><Relationship Id="rId373" Type="http://schemas.openxmlformats.org/officeDocument/2006/relationships/hyperlink" Target="https://www.bittitan.com/our-story/careers/careers-detail?gh_jid=2157482" TargetMode="External"/><Relationship Id="rId429" Type="http://schemas.openxmlformats.org/officeDocument/2006/relationships/hyperlink" Target="https://infradigital.io/career" TargetMode="External"/><Relationship Id="rId1" Type="http://schemas.openxmlformats.org/officeDocument/2006/relationships/hyperlink" Target="https://www.jobstreet.com.sg/en/job/principal-software-engineer-7824799" TargetMode="External"/><Relationship Id="rId233" Type="http://schemas.openxmlformats.org/officeDocument/2006/relationships/hyperlink" Target="https://careers.shopee.sg/jobs/?region_id=1&amp;dept_id=104&amp;name=&amp;limit=20&amp;offset=0" TargetMode="External"/><Relationship Id="rId28" Type="http://schemas.openxmlformats.org/officeDocument/2006/relationships/hyperlink" Target="http://www.sgcarmart.com/" TargetMode="External"/><Relationship Id="rId275" Type="http://schemas.openxmlformats.org/officeDocument/2006/relationships/hyperlink" Target="https://www.andafin.com/contact/" TargetMode="External"/><Relationship Id="rId300" Type="http://schemas.openxmlformats.org/officeDocument/2006/relationships/hyperlink" Target="https://vcf.mycareersfuture.sg/vcf/ict_professionals_apr20/job/MCF-2020-0035879"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source.io/" TargetMode="External"/><Relationship Id="rId18" Type="http://schemas.openxmlformats.org/officeDocument/2006/relationships/hyperlink" Target="http://homecare24.id/" TargetMode="External"/><Relationship Id="rId26" Type="http://schemas.openxmlformats.org/officeDocument/2006/relationships/hyperlink" Target="http://prestisa.com/" TargetMode="External"/><Relationship Id="rId39" Type="http://schemas.openxmlformats.org/officeDocument/2006/relationships/hyperlink" Target="http://grivy.com/" TargetMode="External"/><Relationship Id="rId21" Type="http://schemas.openxmlformats.org/officeDocument/2006/relationships/hyperlink" Target="http://helptheworld.io/" TargetMode="External"/><Relationship Id="rId34" Type="http://schemas.openxmlformats.org/officeDocument/2006/relationships/hyperlink" Target="http://imural.id/" TargetMode="External"/><Relationship Id="rId42" Type="http://schemas.openxmlformats.org/officeDocument/2006/relationships/hyperlink" Target="http://matahari.com/" TargetMode="External"/><Relationship Id="rId47" Type="http://schemas.openxmlformats.org/officeDocument/2006/relationships/hyperlink" Target="http://referhire.com/" TargetMode="External"/><Relationship Id="rId50" Type="http://schemas.openxmlformats.org/officeDocument/2006/relationships/drawing" Target="../drawings/drawing2.xml"/><Relationship Id="rId7" Type="http://schemas.openxmlformats.org/officeDocument/2006/relationships/hyperlink" Target="http://mobilkamu.com/" TargetMode="External"/><Relationship Id="rId2" Type="http://schemas.openxmlformats.org/officeDocument/2006/relationships/hyperlink" Target="http://getzave.com/" TargetMode="External"/><Relationship Id="rId16" Type="http://schemas.openxmlformats.org/officeDocument/2006/relationships/hyperlink" Target="http://ibunda.id/" TargetMode="External"/><Relationship Id="rId29" Type="http://schemas.openxmlformats.org/officeDocument/2006/relationships/hyperlink" Target="http://neuonwoods.com/" TargetMode="External"/><Relationship Id="rId11" Type="http://schemas.openxmlformats.org/officeDocument/2006/relationships/hyperlink" Target="http://www.lightful.com/" TargetMode="External"/><Relationship Id="rId24" Type="http://schemas.openxmlformats.org/officeDocument/2006/relationships/hyperlink" Target="http://cermati.com/" TargetMode="External"/><Relationship Id="rId32" Type="http://schemas.openxmlformats.org/officeDocument/2006/relationships/hyperlink" Target="http://loopup.com/" TargetMode="External"/><Relationship Id="rId37" Type="http://schemas.openxmlformats.org/officeDocument/2006/relationships/hyperlink" Target="http://homecare24.id/" TargetMode="External"/><Relationship Id="rId40" Type="http://schemas.openxmlformats.org/officeDocument/2006/relationships/hyperlink" Target="http://www.lightful.com/" TargetMode="External"/><Relationship Id="rId45" Type="http://schemas.openxmlformats.org/officeDocument/2006/relationships/hyperlink" Target="http://c3.ai/" TargetMode="External"/><Relationship Id="rId5" Type="http://schemas.openxmlformats.org/officeDocument/2006/relationships/hyperlink" Target="http://ralali.com/" TargetMode="External"/><Relationship Id="rId15" Type="http://schemas.openxmlformats.org/officeDocument/2006/relationships/hyperlink" Target="http://booking.com/" TargetMode="External"/><Relationship Id="rId23" Type="http://schemas.openxmlformats.org/officeDocument/2006/relationships/hyperlink" Target="http://pigijo.com/" TargetMode="External"/><Relationship Id="rId28" Type="http://schemas.openxmlformats.org/officeDocument/2006/relationships/hyperlink" Target="http://prestisa.com/" TargetMode="External"/><Relationship Id="rId36" Type="http://schemas.openxmlformats.org/officeDocument/2006/relationships/hyperlink" Target="http://loopup.com/" TargetMode="External"/><Relationship Id="rId49" Type="http://schemas.openxmlformats.org/officeDocument/2006/relationships/hyperlink" Target="http://grivy.com/" TargetMode="External"/><Relationship Id="rId10" Type="http://schemas.openxmlformats.org/officeDocument/2006/relationships/hyperlink" Target="http://umroh.com/" TargetMode="External"/><Relationship Id="rId19" Type="http://schemas.openxmlformats.org/officeDocument/2006/relationships/hyperlink" Target="http://ralali.com/" TargetMode="External"/><Relationship Id="rId31" Type="http://schemas.openxmlformats.org/officeDocument/2006/relationships/hyperlink" Target="http://c3.ai/" TargetMode="External"/><Relationship Id="rId44" Type="http://schemas.openxmlformats.org/officeDocument/2006/relationships/hyperlink" Target="http://neuonwoods.com/" TargetMode="External"/><Relationship Id="rId4" Type="http://schemas.openxmlformats.org/officeDocument/2006/relationships/hyperlink" Target="http://getzave.com/" TargetMode="External"/><Relationship Id="rId9" Type="http://schemas.openxmlformats.org/officeDocument/2006/relationships/hyperlink" Target="http://cermati.com/" TargetMode="External"/><Relationship Id="rId14" Type="http://schemas.openxmlformats.org/officeDocument/2006/relationships/hyperlink" Target="http://useget.com/" TargetMode="External"/><Relationship Id="rId22" Type="http://schemas.openxmlformats.org/officeDocument/2006/relationships/hyperlink" Target="http://99.co/" TargetMode="External"/><Relationship Id="rId27" Type="http://schemas.openxmlformats.org/officeDocument/2006/relationships/hyperlink" Target="http://pigijo.com/" TargetMode="External"/><Relationship Id="rId30" Type="http://schemas.openxmlformats.org/officeDocument/2006/relationships/hyperlink" Target="http://matahari.com/" TargetMode="External"/><Relationship Id="rId35" Type="http://schemas.openxmlformats.org/officeDocument/2006/relationships/hyperlink" Target="http://ibunda.id/" TargetMode="External"/><Relationship Id="rId43" Type="http://schemas.openxmlformats.org/officeDocument/2006/relationships/hyperlink" Target="http://tiket.com/" TargetMode="External"/><Relationship Id="rId48" Type="http://schemas.openxmlformats.org/officeDocument/2006/relationships/hyperlink" Target="http://useget.com/" TargetMode="External"/><Relationship Id="rId8" Type="http://schemas.openxmlformats.org/officeDocument/2006/relationships/hyperlink" Target="http://www.flightclaimeu.com/" TargetMode="External"/><Relationship Id="rId3" Type="http://schemas.openxmlformats.org/officeDocument/2006/relationships/hyperlink" Target="http://umroh.com/" TargetMode="External"/><Relationship Id="rId12" Type="http://schemas.openxmlformats.org/officeDocument/2006/relationships/hyperlink" Target="http://www.flightclaimeu.com/" TargetMode="External"/><Relationship Id="rId17" Type="http://schemas.openxmlformats.org/officeDocument/2006/relationships/hyperlink" Target="http://tiket.com/" TargetMode="External"/><Relationship Id="rId25" Type="http://schemas.openxmlformats.org/officeDocument/2006/relationships/hyperlink" Target="http://vsource.io/" TargetMode="External"/><Relationship Id="rId33" Type="http://schemas.openxmlformats.org/officeDocument/2006/relationships/hyperlink" Target="http://mobilkamu.com/" TargetMode="External"/><Relationship Id="rId38" Type="http://schemas.openxmlformats.org/officeDocument/2006/relationships/hyperlink" Target="http://helptheworld.io/" TargetMode="External"/><Relationship Id="rId46" Type="http://schemas.openxmlformats.org/officeDocument/2006/relationships/hyperlink" Target="http://booking.com/" TargetMode="External"/><Relationship Id="rId20" Type="http://schemas.openxmlformats.org/officeDocument/2006/relationships/hyperlink" Target="http://referhire.com/" TargetMode="External"/><Relationship Id="rId41" Type="http://schemas.openxmlformats.org/officeDocument/2006/relationships/hyperlink" Target="http://imural.id/" TargetMode="External"/><Relationship Id="rId1" Type="http://schemas.openxmlformats.org/officeDocument/2006/relationships/pivotTable" Target="../pivotTables/pivotTable1.xml"/><Relationship Id="rId6" Type="http://schemas.openxmlformats.org/officeDocument/2006/relationships/hyperlink" Target="http://99.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sheetViews>
  <sheetFormatPr baseColWidth="10" defaultColWidth="14.5" defaultRowHeight="15.75" customHeight="1"/>
  <cols>
    <col min="1" max="1" width="114.5" customWidth="1"/>
    <col min="2" max="2" width="42" customWidth="1"/>
    <col min="3" max="3" width="75" customWidth="1"/>
  </cols>
  <sheetData>
    <row r="1" spans="1:26" ht="53.25" customHeight="1">
      <c r="A1" s="2" t="s">
        <v>0</v>
      </c>
      <c r="B1" s="7" t="str">
        <f>"Supporting Funds: " &amp; LEN(TRIM(A1))-LEN(SUBSTITUTE(TRIM(A1),",",""))+1</f>
        <v>Supporting Funds: 26</v>
      </c>
      <c r="C1" s="14" t="str">
        <f>HYPERLINK("https://docs.google.com/spreadsheets/d/1veoc3BJdELLkYpiJ1_ehXuKL_nK9ijROk8_bn0OmPso","Inspired by a similar US list from the awesome folks @ Floodgate, Unshackled, Awesomepeople")</f>
        <v>Inspired by a similar US list from the awesome folks @ Floodgate, Unshackled, Awesomepeople</v>
      </c>
      <c r="E1" s="15" t="s">
        <v>9</v>
      </c>
      <c r="F1" s="17"/>
      <c r="G1" s="17"/>
      <c r="H1" s="17"/>
      <c r="I1" s="17"/>
      <c r="J1" s="17"/>
      <c r="K1" s="17"/>
      <c r="M1" s="17"/>
      <c r="N1" s="17"/>
      <c r="O1" s="17"/>
      <c r="P1" s="17"/>
      <c r="Q1" s="17"/>
      <c r="R1" s="17"/>
      <c r="S1" s="17"/>
      <c r="T1" s="17"/>
      <c r="U1" s="17"/>
      <c r="V1" s="17"/>
      <c r="W1" s="17"/>
      <c r="X1" s="17"/>
      <c r="Y1" s="17"/>
      <c r="Z1" s="17"/>
    </row>
    <row r="2" spans="1:26" ht="14">
      <c r="A2" s="20" t="s">
        <v>12</v>
      </c>
      <c r="B2" s="27" t="str">
        <f ca="1">"Awesome People: "&amp;'Awesome People List-Master'!E1</f>
        <v>Awesome People: 1244</v>
      </c>
      <c r="C2" s="17"/>
      <c r="E2" s="17" t="str">
        <f ca="1">IFERROR(__xludf.DUMMYFUNCTION("unique('Companies still hiring'!D5:D1004)"),"Sesto Robotics ")</f>
        <v xml:space="preserve">Sesto Robotics </v>
      </c>
      <c r="F2" s="17"/>
      <c r="G2" s="17"/>
      <c r="H2" s="17"/>
      <c r="I2" s="17"/>
      <c r="J2" s="17"/>
      <c r="K2" s="17"/>
      <c r="L2" s="17"/>
      <c r="M2" s="17"/>
      <c r="N2" s="17"/>
      <c r="O2" s="17"/>
      <c r="P2" s="17"/>
      <c r="Q2" s="17"/>
      <c r="R2" s="17"/>
      <c r="S2" s="17"/>
      <c r="T2" s="17"/>
      <c r="U2" s="17"/>
      <c r="V2" s="17"/>
      <c r="W2" s="17"/>
      <c r="X2" s="17"/>
      <c r="Y2" s="17"/>
      <c r="Z2" s="17"/>
    </row>
    <row r="3" spans="1:26" ht="14">
      <c r="A3" s="32" t="str">
        <f>HYPERLINK("https://forms.gle/GBDo51t4C55fUgbK8","Add new talent posting here ")</f>
        <v xml:space="preserve">Add new talent posting here </v>
      </c>
      <c r="B3" s="7" t="str">
        <f>"Job Listings: "&amp;'Companies still hiring'!D2</f>
        <v>Job Listings: 465</v>
      </c>
      <c r="C3" s="37" t="s">
        <v>39</v>
      </c>
      <c r="E3" s="41" t="str">
        <f ca="1">IFERROR(__xludf.DUMMYFUNCTION("""COMPUTED_VALUE"""),"Rainmaking")</f>
        <v>Rainmaking</v>
      </c>
      <c r="F3" s="43"/>
      <c r="G3" s="43"/>
      <c r="H3" s="43"/>
      <c r="I3" s="43"/>
      <c r="J3" s="43"/>
      <c r="K3" s="43"/>
      <c r="L3" s="43"/>
      <c r="M3" s="43"/>
      <c r="N3" s="43"/>
      <c r="O3" s="43"/>
      <c r="P3" s="43"/>
      <c r="Q3" s="43"/>
      <c r="R3" s="43"/>
      <c r="S3" s="43"/>
      <c r="T3" s="43"/>
      <c r="U3" s="43"/>
      <c r="V3" s="43"/>
      <c r="W3" s="43"/>
      <c r="X3" s="43"/>
      <c r="Y3" s="43"/>
      <c r="Z3" s="43"/>
    </row>
    <row r="4" spans="1:26" ht="13">
      <c r="A4" s="20"/>
      <c r="B4" s="27" t="str">
        <f ca="1">"Companies listing jobs: " &amp;'Companies still hiring'!E2</f>
        <v>Companies listing jobs: 167</v>
      </c>
      <c r="C4" s="48" t="str">
        <f>HYPERLINK("https://chopeandsave.com/?fbclid=IwAR29dMI5ezYn0c3y1JhSwoHxkPaFPyDQ2A9Lq-xKYKaylPtsHMZuRsb0jEI","Support Singaporean F&amp;B here at ChopeandSave")</f>
        <v>Support Singaporean F&amp;B here at ChopeandSave</v>
      </c>
      <c r="E4" s="49" t="str">
        <f ca="1">IFERROR(__xludf.DUMMYFUNCTION("""COMPUTED_VALUE"""),"Envision Digital")</f>
        <v>Envision Digital</v>
      </c>
      <c r="F4" s="43"/>
      <c r="G4" s="43"/>
      <c r="H4" s="43"/>
      <c r="I4" s="43"/>
      <c r="J4" s="43"/>
      <c r="K4" s="43"/>
      <c r="L4" s="43"/>
      <c r="M4" s="43"/>
      <c r="N4" s="43"/>
      <c r="O4" s="43"/>
      <c r="P4" s="43"/>
      <c r="Q4" s="43"/>
      <c r="R4" s="43"/>
      <c r="S4" s="43"/>
      <c r="T4" s="43"/>
      <c r="U4" s="43"/>
      <c r="V4" s="43"/>
      <c r="W4" s="43"/>
      <c r="X4" s="43"/>
      <c r="Y4" s="43"/>
      <c r="Z4" s="43"/>
    </row>
    <row r="5" spans="1:26" ht="14">
      <c r="A5" s="20" t="s">
        <v>95</v>
      </c>
      <c r="B5" s="27" t="s">
        <v>97</v>
      </c>
      <c r="C5" s="43"/>
      <c r="E5" s="43" t="str">
        <f ca="1">IFERROR(__xludf.DUMMYFUNCTION("""COMPUTED_VALUE"""),"Hoow Foods")</f>
        <v>Hoow Foods</v>
      </c>
      <c r="F5" s="43"/>
      <c r="G5" s="43"/>
      <c r="H5" s="43"/>
      <c r="I5" s="43"/>
      <c r="J5" s="43"/>
      <c r="K5" s="43"/>
      <c r="L5" s="43"/>
      <c r="M5" s="43"/>
      <c r="N5" s="43"/>
      <c r="O5" s="43"/>
      <c r="P5" s="43"/>
      <c r="Q5" s="43"/>
      <c r="R5" s="43"/>
      <c r="S5" s="43"/>
      <c r="T5" s="43"/>
      <c r="U5" s="43"/>
      <c r="V5" s="43"/>
      <c r="W5" s="43"/>
      <c r="X5" s="43"/>
      <c r="Y5" s="43"/>
      <c r="Z5" s="43"/>
    </row>
    <row r="6" spans="1:26" ht="28">
      <c r="A6" s="53" t="s">
        <v>100</v>
      </c>
      <c r="C6" s="48" t="str">
        <f>HYPERLINK("https://www.7cups.com/","7 Cups: Need someone to talk to?")</f>
        <v>7 Cups: Need someone to talk to?</v>
      </c>
      <c r="E6" s="17" t="str">
        <f ca="1">IFERROR(__xludf.DUMMYFUNCTION("""COMPUTED_VALUE"""),"Newman's")</f>
        <v>Newman's</v>
      </c>
      <c r="F6" s="17"/>
      <c r="G6" s="17"/>
      <c r="H6" s="17"/>
      <c r="I6" s="17"/>
      <c r="J6" s="17"/>
      <c r="K6" s="17"/>
      <c r="L6" s="17"/>
      <c r="M6" s="17"/>
      <c r="N6" s="17"/>
      <c r="O6" s="17"/>
      <c r="P6" s="17"/>
      <c r="Q6" s="17"/>
      <c r="R6" s="17"/>
      <c r="S6" s="17"/>
      <c r="T6" s="17"/>
      <c r="U6" s="17"/>
      <c r="V6" s="17"/>
      <c r="W6" s="17"/>
      <c r="X6" s="17"/>
      <c r="Y6" s="17"/>
      <c r="Z6" s="17"/>
    </row>
    <row r="7" spans="1:26" ht="42">
      <c r="A7" s="17"/>
      <c r="B7" s="17"/>
      <c r="C7" s="54" t="s">
        <v>116</v>
      </c>
      <c r="E7" s="17" t="str">
        <f ca="1">IFERROR(__xludf.DUMMYFUNCTION("""COMPUTED_VALUE"""),"HI Recruitment")</f>
        <v>HI Recruitment</v>
      </c>
      <c r="F7" s="17"/>
      <c r="G7" s="17"/>
      <c r="H7" s="17"/>
      <c r="I7" s="17"/>
      <c r="J7" s="17"/>
      <c r="K7" s="17"/>
      <c r="L7" s="17"/>
      <c r="M7" s="17"/>
      <c r="N7" s="17"/>
      <c r="O7" s="17"/>
      <c r="P7" s="17"/>
      <c r="Q7" s="17"/>
      <c r="R7" s="17"/>
      <c r="S7" s="17"/>
      <c r="T7" s="17"/>
      <c r="U7" s="17"/>
      <c r="V7" s="17"/>
      <c r="W7" s="17"/>
      <c r="X7" s="17"/>
      <c r="Y7" s="17"/>
      <c r="Z7" s="17"/>
    </row>
    <row r="8" spans="1:26" ht="14">
      <c r="A8" s="20" t="s">
        <v>124</v>
      </c>
      <c r="B8" s="17"/>
      <c r="C8" s="54"/>
      <c r="E8" s="55" t="str">
        <f ca="1">IFERROR(__xludf.DUMMYFUNCTION("""COMPUTED_VALUE"""),"www.futurelabs.vc")</f>
        <v>www.futurelabs.vc</v>
      </c>
      <c r="F8" s="17"/>
      <c r="G8" s="17"/>
      <c r="H8" s="17"/>
      <c r="I8" s="17"/>
      <c r="J8" s="17"/>
      <c r="K8" s="17"/>
      <c r="L8" s="17"/>
      <c r="M8" s="17"/>
      <c r="N8" s="17"/>
      <c r="O8" s="17"/>
      <c r="P8" s="17"/>
      <c r="Q8" s="17"/>
      <c r="R8" s="17"/>
      <c r="S8" s="17"/>
      <c r="T8" s="17"/>
      <c r="U8" s="17"/>
      <c r="V8" s="17"/>
      <c r="W8" s="17"/>
      <c r="X8" s="17"/>
      <c r="Y8" s="17"/>
      <c r="Z8" s="17"/>
    </row>
    <row r="9" spans="1:26" ht="14">
      <c r="A9" s="53" t="s">
        <v>143</v>
      </c>
      <c r="B9" s="17"/>
      <c r="C9" s="54"/>
      <c r="E9" s="55" t="str">
        <f ca="1">IFERROR(__xludf.DUMMYFUNCTION("""COMPUTED_VALUE"""),"www.crowde.co")</f>
        <v>www.crowde.co</v>
      </c>
      <c r="F9" s="17"/>
      <c r="G9" s="17"/>
      <c r="H9" s="17"/>
      <c r="I9" s="17"/>
      <c r="J9" s="17"/>
      <c r="K9" s="17"/>
      <c r="L9" s="17"/>
      <c r="M9" s="17"/>
      <c r="N9" s="17"/>
      <c r="O9" s="17"/>
      <c r="P9" s="17"/>
      <c r="Q9" s="17"/>
      <c r="R9" s="17"/>
      <c r="S9" s="17"/>
      <c r="T9" s="17"/>
      <c r="U9" s="17"/>
      <c r="V9" s="17"/>
      <c r="W9" s="17"/>
      <c r="X9" s="17"/>
      <c r="Y9" s="17"/>
      <c r="Z9" s="17"/>
    </row>
    <row r="10" spans="1:26" ht="14">
      <c r="A10" s="53" t="s">
        <v>155</v>
      </c>
      <c r="C10" s="54" t="s">
        <v>156</v>
      </c>
      <c r="E10" s="56" t="str">
        <f ca="1">IFERROR(__xludf.DUMMYFUNCTION("""COMPUTED_VALUE"""),"www.sgcarmart.com")</f>
        <v>www.sgcarmart.com</v>
      </c>
    </row>
    <row r="11" spans="1:26" ht="42">
      <c r="A11" s="54" t="s">
        <v>169</v>
      </c>
      <c r="C11" s="54" t="s">
        <v>171</v>
      </c>
      <c r="E11" s="56" t="str">
        <f ca="1">IFERROR(__xludf.DUMMYFUNCTION("""COMPUTED_VALUE"""),"www.heveaconnect.com")</f>
        <v>www.heveaconnect.com</v>
      </c>
    </row>
    <row r="12" spans="1:26" ht="56">
      <c r="A12" s="54" t="s">
        <v>185</v>
      </c>
      <c r="B12" s="17"/>
      <c r="C12" s="54" t="s">
        <v>186</v>
      </c>
      <c r="E12" s="17" t="str">
        <f ca="1">IFERROR(__xludf.DUMMYFUNCTION("""COMPUTED_VALUE"""),"Pelago")</f>
        <v>Pelago</v>
      </c>
      <c r="F12" s="17"/>
      <c r="G12" s="17"/>
      <c r="H12" s="17"/>
      <c r="I12" s="17"/>
      <c r="J12" s="17"/>
      <c r="K12" s="17"/>
      <c r="L12" s="17"/>
      <c r="M12" s="17"/>
      <c r="N12" s="17"/>
      <c r="O12" s="17"/>
      <c r="P12" s="17"/>
      <c r="Q12" s="17"/>
      <c r="R12" s="17"/>
      <c r="S12" s="17"/>
      <c r="T12" s="17"/>
      <c r="U12" s="17"/>
      <c r="V12" s="17"/>
      <c r="W12" s="17"/>
      <c r="X12" s="17"/>
      <c r="Y12" s="17"/>
      <c r="Z12" s="17"/>
    </row>
    <row r="13" spans="1:26" ht="13">
      <c r="E13" s="49" t="str">
        <f ca="1">IFERROR(__xludf.DUMMYFUNCTION("""COMPUTED_VALUE"""),"Hunter One ")</f>
        <v xml:space="preserve">Hunter One </v>
      </c>
    </row>
    <row r="14" spans="1:26" ht="14">
      <c r="A14" s="20" t="s">
        <v>191</v>
      </c>
      <c r="B14" s="17"/>
      <c r="C14" s="17"/>
      <c r="E14" s="17" t="str">
        <f ca="1">IFERROR(__xludf.DUMMYFUNCTION("""COMPUTED_VALUE"""),"Reapra")</f>
        <v>Reapra</v>
      </c>
      <c r="F14" s="17"/>
      <c r="G14" s="17"/>
      <c r="H14" s="17"/>
      <c r="I14" s="17"/>
      <c r="J14" s="17"/>
      <c r="K14" s="17"/>
      <c r="L14" s="17"/>
      <c r="M14" s="17"/>
      <c r="N14" s="17"/>
      <c r="O14" s="17"/>
      <c r="P14" s="17"/>
      <c r="Q14" s="17"/>
      <c r="R14" s="17"/>
      <c r="S14" s="17"/>
      <c r="T14" s="17"/>
      <c r="U14" s="17"/>
      <c r="V14" s="17"/>
      <c r="W14" s="17"/>
      <c r="X14" s="17"/>
      <c r="Y14" s="17"/>
      <c r="Z14" s="17"/>
    </row>
    <row r="15" spans="1:26" ht="42">
      <c r="A15" s="57" t="s">
        <v>201</v>
      </c>
      <c r="B15" s="337" t="s">
        <v>204</v>
      </c>
      <c r="C15" s="17"/>
      <c r="E15" s="17" t="str">
        <f ca="1">IFERROR(__xludf.DUMMYFUNCTION("""COMPUTED_VALUE"""),"Garuda Robotics")</f>
        <v>Garuda Robotics</v>
      </c>
      <c r="F15" s="17"/>
      <c r="G15" s="17"/>
      <c r="H15" s="17"/>
      <c r="I15" s="17"/>
      <c r="J15" s="17"/>
      <c r="K15" s="17"/>
      <c r="L15" s="17"/>
      <c r="M15" s="17"/>
      <c r="N15" s="17"/>
      <c r="O15" s="17"/>
      <c r="P15" s="17"/>
      <c r="Q15" s="17"/>
      <c r="R15" s="17"/>
      <c r="S15" s="17"/>
      <c r="T15" s="17"/>
      <c r="U15" s="17"/>
      <c r="V15" s="17"/>
      <c r="W15" s="17"/>
      <c r="X15" s="17"/>
      <c r="Y15" s="17"/>
      <c r="Z15" s="17"/>
    </row>
    <row r="16" spans="1:26" ht="14">
      <c r="A16" s="53" t="s">
        <v>221</v>
      </c>
      <c r="B16" s="338"/>
      <c r="C16" s="17"/>
      <c r="E16" s="17" t="str">
        <f ca="1">IFERROR(__xludf.DUMMYFUNCTION("""COMPUTED_VALUE"""),"Machine Ventures")</f>
        <v>Machine Ventures</v>
      </c>
      <c r="F16" s="17"/>
      <c r="G16" s="17"/>
      <c r="H16" s="17"/>
      <c r="I16" s="17"/>
      <c r="J16" s="17"/>
      <c r="K16" s="17"/>
      <c r="L16" s="17"/>
      <c r="M16" s="17"/>
      <c r="N16" s="17"/>
      <c r="O16" s="17"/>
      <c r="P16" s="17"/>
      <c r="Q16" s="17"/>
      <c r="R16" s="17"/>
      <c r="S16" s="17"/>
      <c r="T16" s="17"/>
      <c r="U16" s="17"/>
      <c r="V16" s="17"/>
      <c r="W16" s="17"/>
      <c r="X16" s="17"/>
      <c r="Y16" s="17"/>
      <c r="Z16" s="17"/>
    </row>
    <row r="17" spans="1:26" ht="13">
      <c r="A17" s="58"/>
      <c r="B17" s="338"/>
      <c r="C17" s="17"/>
      <c r="E17" s="17" t="str">
        <f ca="1">IFERROR(__xludf.DUMMYFUNCTION("""COMPUTED_VALUE"""),"Lingumi")</f>
        <v>Lingumi</v>
      </c>
      <c r="F17" s="17"/>
      <c r="G17" s="17"/>
      <c r="H17" s="17"/>
      <c r="I17" s="17"/>
      <c r="J17" s="17"/>
      <c r="K17" s="17"/>
      <c r="L17" s="17"/>
      <c r="M17" s="17"/>
      <c r="N17" s="17"/>
      <c r="O17" s="17"/>
      <c r="P17" s="17"/>
      <c r="Q17" s="17"/>
      <c r="R17" s="17"/>
      <c r="S17" s="17"/>
      <c r="T17" s="17"/>
      <c r="U17" s="17"/>
      <c r="V17" s="17"/>
      <c r="W17" s="17"/>
      <c r="X17" s="17"/>
      <c r="Y17" s="17"/>
      <c r="Z17" s="17"/>
    </row>
    <row r="18" spans="1:26" ht="14">
      <c r="A18" s="20" t="s">
        <v>241</v>
      </c>
      <c r="B18" s="338"/>
      <c r="C18" s="17"/>
      <c r="E18" s="17" t="str">
        <f ca="1">IFERROR(__xludf.DUMMYFUNCTION("""COMPUTED_VALUE"""),"reach52")</f>
        <v>reach52</v>
      </c>
      <c r="F18" s="17"/>
      <c r="G18" s="17"/>
      <c r="H18" s="17"/>
      <c r="I18" s="17"/>
      <c r="J18" s="17"/>
      <c r="K18" s="17"/>
      <c r="L18" s="17"/>
      <c r="M18" s="17"/>
      <c r="N18" s="17"/>
      <c r="O18" s="17"/>
      <c r="P18" s="17"/>
      <c r="Q18" s="17"/>
      <c r="R18" s="17"/>
      <c r="S18" s="17"/>
      <c r="T18" s="17"/>
      <c r="U18" s="17"/>
      <c r="V18" s="17"/>
      <c r="W18" s="17"/>
      <c r="X18" s="17"/>
      <c r="Y18" s="17"/>
      <c r="Z18" s="17"/>
    </row>
    <row r="19" spans="1:26" ht="14">
      <c r="A19" s="53" t="s">
        <v>251</v>
      </c>
      <c r="B19" s="338"/>
      <c r="C19" s="17"/>
      <c r="E19" s="17" t="str">
        <f ca="1">IFERROR(__xludf.DUMMYFUNCTION("""COMPUTED_VALUE"""),"Armillary / Skilledd.com")</f>
        <v>Armillary / Skilledd.com</v>
      </c>
      <c r="F19" s="17"/>
      <c r="G19" s="17"/>
      <c r="H19" s="17"/>
      <c r="I19" s="17"/>
      <c r="J19" s="17"/>
      <c r="K19" s="17"/>
      <c r="L19" s="17"/>
      <c r="M19" s="17"/>
      <c r="N19" s="17"/>
      <c r="O19" s="17"/>
      <c r="P19" s="17"/>
      <c r="Q19" s="17"/>
      <c r="R19" s="17"/>
      <c r="S19" s="17"/>
      <c r="T19" s="17"/>
      <c r="U19" s="17"/>
      <c r="V19" s="17"/>
      <c r="W19" s="17"/>
      <c r="X19" s="17"/>
      <c r="Y19" s="17"/>
      <c r="Z19" s="17"/>
    </row>
    <row r="20" spans="1:26" ht="14">
      <c r="A20" s="53" t="s">
        <v>254</v>
      </c>
      <c r="B20" s="17"/>
      <c r="C20" s="17"/>
      <c r="E20" s="17" t="str">
        <f ca="1">IFERROR(__xludf.DUMMYFUNCTION("""COMPUTED_VALUE"""),"Fundnel Pte Ltd")</f>
        <v>Fundnel Pte Ltd</v>
      </c>
      <c r="F20" s="17"/>
      <c r="G20" s="17"/>
      <c r="H20" s="17"/>
      <c r="I20" s="17"/>
      <c r="J20" s="17"/>
      <c r="K20" s="17"/>
      <c r="L20" s="17"/>
      <c r="M20" s="17"/>
      <c r="N20" s="17"/>
      <c r="O20" s="17"/>
      <c r="P20" s="17"/>
      <c r="Q20" s="17"/>
      <c r="R20" s="17"/>
      <c r="S20" s="17"/>
      <c r="T20" s="17"/>
      <c r="U20" s="17"/>
      <c r="V20" s="17"/>
      <c r="W20" s="17"/>
      <c r="X20" s="17"/>
      <c r="Y20" s="17"/>
      <c r="Z20" s="17"/>
    </row>
    <row r="21" spans="1:26" ht="13">
      <c r="A21" s="58"/>
      <c r="B21" s="17"/>
      <c r="C21" s="17"/>
      <c r="E21" s="17" t="str">
        <f ca="1">IFERROR(__xludf.DUMMYFUNCTION("""COMPUTED_VALUE"""),"Antler")</f>
        <v>Antler</v>
      </c>
      <c r="F21" s="17"/>
      <c r="G21" s="17"/>
      <c r="H21" s="17"/>
      <c r="I21" s="17"/>
      <c r="J21" s="17"/>
      <c r="K21" s="17"/>
      <c r="L21" s="17"/>
      <c r="M21" s="17"/>
      <c r="N21" s="17"/>
      <c r="O21" s="17"/>
      <c r="P21" s="17"/>
      <c r="Q21" s="17"/>
      <c r="R21" s="17"/>
      <c r="S21" s="17"/>
      <c r="T21" s="17"/>
      <c r="U21" s="17"/>
      <c r="V21" s="17"/>
      <c r="W21" s="17"/>
      <c r="X21" s="17"/>
      <c r="Y21" s="17"/>
      <c r="Z21" s="17"/>
    </row>
    <row r="22" spans="1:26" ht="14">
      <c r="A22" s="20" t="s">
        <v>276</v>
      </c>
      <c r="B22" s="17"/>
      <c r="C22" s="17"/>
      <c r="E22" s="17" t="str">
        <f ca="1">IFERROR(__xludf.DUMMYFUNCTION("""COMPUTED_VALUE"""),"AGHRM")</f>
        <v>AGHRM</v>
      </c>
      <c r="F22" s="17"/>
      <c r="G22" s="17"/>
      <c r="H22" s="17"/>
      <c r="I22" s="17"/>
      <c r="J22" s="17"/>
      <c r="K22" s="17"/>
      <c r="L22" s="17"/>
      <c r="M22" s="17"/>
      <c r="N22" s="17"/>
      <c r="O22" s="17"/>
      <c r="P22" s="17"/>
      <c r="Q22" s="17"/>
      <c r="R22" s="17"/>
      <c r="S22" s="17"/>
      <c r="T22" s="17"/>
      <c r="U22" s="17"/>
      <c r="V22" s="17"/>
      <c r="W22" s="17"/>
      <c r="X22" s="17"/>
      <c r="Y22" s="17"/>
      <c r="Z22" s="17"/>
    </row>
    <row r="23" spans="1:26" ht="14">
      <c r="A23" s="53" t="s">
        <v>285</v>
      </c>
      <c r="B23" s="17"/>
      <c r="C23" s="17"/>
      <c r="E23" s="17" t="str">
        <f ca="1">IFERROR(__xludf.DUMMYFUNCTION("""COMPUTED_VALUE"""),"Carro")</f>
        <v>Carro</v>
      </c>
      <c r="F23" s="17"/>
      <c r="G23" s="17"/>
      <c r="H23" s="17"/>
      <c r="I23" s="17"/>
      <c r="J23" s="17"/>
      <c r="K23" s="17"/>
      <c r="L23" s="17"/>
      <c r="M23" s="17"/>
      <c r="N23" s="17"/>
      <c r="O23" s="17"/>
      <c r="P23" s="17"/>
      <c r="Q23" s="17"/>
      <c r="R23" s="17"/>
      <c r="S23" s="17"/>
      <c r="T23" s="17"/>
      <c r="U23" s="17"/>
      <c r="V23" s="17"/>
      <c r="W23" s="17"/>
      <c r="X23" s="17"/>
      <c r="Y23" s="17"/>
      <c r="Z23" s="17"/>
    </row>
    <row r="24" spans="1:26" ht="14">
      <c r="A24" s="53" t="s">
        <v>287</v>
      </c>
      <c r="B24" s="17"/>
      <c r="C24" s="17"/>
      <c r="E24" s="17" t="str">
        <f ca="1">IFERROR(__xludf.DUMMYFUNCTION("""COMPUTED_VALUE"""),"Carro ")</f>
        <v xml:space="preserve">Carro </v>
      </c>
      <c r="F24" s="17"/>
      <c r="G24" s="17"/>
      <c r="H24" s="17"/>
      <c r="I24" s="17"/>
      <c r="J24" s="17"/>
      <c r="K24" s="17"/>
      <c r="L24" s="17"/>
      <c r="M24" s="17"/>
      <c r="N24" s="17"/>
      <c r="O24" s="17"/>
      <c r="P24" s="17"/>
      <c r="Q24" s="17"/>
      <c r="R24" s="17"/>
      <c r="S24" s="17"/>
      <c r="T24" s="17"/>
      <c r="U24" s="17"/>
      <c r="V24" s="17"/>
      <c r="W24" s="17"/>
      <c r="X24" s="17"/>
      <c r="Y24" s="17"/>
      <c r="Z24" s="17"/>
    </row>
    <row r="25" spans="1:26" ht="13">
      <c r="A25" s="62" t="s">
        <v>298</v>
      </c>
      <c r="E25" s="49" t="str">
        <f ca="1">IFERROR(__xludf.DUMMYFUNCTION("""COMPUTED_VALUE"""),"Wantedly Singapore")</f>
        <v>Wantedly Singapore</v>
      </c>
    </row>
    <row r="26" spans="1:26" ht="13">
      <c r="E26" s="49" t="str">
        <f ca="1">IFERROR(__xludf.DUMMYFUNCTION("""COMPUTED_VALUE"""),"Trent Global College")</f>
        <v>Trent Global College</v>
      </c>
    </row>
    <row r="27" spans="1:26" ht="14">
      <c r="A27" s="20" t="s">
        <v>310</v>
      </c>
      <c r="B27" s="17"/>
      <c r="C27" s="17"/>
      <c r="E27" s="17" t="str">
        <f ca="1">IFERROR(__xludf.DUMMYFUNCTION("""COMPUTED_VALUE"""),"StashAway")</f>
        <v>StashAway</v>
      </c>
      <c r="F27" s="17"/>
      <c r="G27" s="17"/>
      <c r="H27" s="17"/>
      <c r="I27" s="17"/>
      <c r="J27" s="17"/>
      <c r="K27" s="17"/>
      <c r="L27" s="17"/>
      <c r="M27" s="17"/>
      <c r="N27" s="17"/>
      <c r="O27" s="17"/>
      <c r="P27" s="17"/>
      <c r="Q27" s="17"/>
      <c r="R27" s="17"/>
      <c r="S27" s="17"/>
      <c r="T27" s="17"/>
      <c r="U27" s="17"/>
      <c r="V27" s="17"/>
      <c r="W27" s="17"/>
      <c r="X27" s="17"/>
      <c r="Y27" s="17"/>
      <c r="Z27" s="17"/>
    </row>
    <row r="28" spans="1:26" ht="14">
      <c r="A28" s="53" t="s">
        <v>320</v>
      </c>
      <c r="B28" s="17"/>
      <c r="C28" s="17"/>
      <c r="E28" s="17" t="str">
        <f ca="1">IFERROR(__xludf.DUMMYFUNCTION("""COMPUTED_VALUE"""),"Ninja Van ")</f>
        <v xml:space="preserve">Ninja Van </v>
      </c>
      <c r="F28" s="17"/>
      <c r="G28" s="17"/>
      <c r="H28" s="17"/>
      <c r="I28" s="17"/>
      <c r="J28" s="17"/>
      <c r="K28" s="17"/>
      <c r="L28" s="17"/>
      <c r="M28" s="17"/>
      <c r="N28" s="17"/>
      <c r="O28" s="17"/>
      <c r="P28" s="17"/>
      <c r="Q28" s="17"/>
      <c r="R28" s="17"/>
      <c r="S28" s="17"/>
      <c r="T28" s="17"/>
      <c r="U28" s="17"/>
      <c r="V28" s="17"/>
      <c r="W28" s="17"/>
      <c r="X28" s="17"/>
      <c r="Y28" s="17"/>
      <c r="Z28" s="17"/>
    </row>
    <row r="29" spans="1:26" ht="14">
      <c r="A29" s="64" t="s">
        <v>324</v>
      </c>
      <c r="B29" s="17"/>
      <c r="C29" s="17"/>
      <c r="E29" s="55" t="str">
        <f ca="1">IFERROR(__xludf.DUMMYFUNCTION("""COMPUTED_VALUE"""),"Holistics Software")</f>
        <v>Holistics Software</v>
      </c>
      <c r="F29" s="17"/>
      <c r="G29" s="17"/>
      <c r="H29" s="17"/>
      <c r="I29" s="17"/>
      <c r="J29" s="17"/>
      <c r="K29" s="17"/>
      <c r="L29" s="17"/>
      <c r="M29" s="17"/>
      <c r="N29" s="17"/>
      <c r="O29" s="17"/>
      <c r="P29" s="17"/>
      <c r="Q29" s="17"/>
      <c r="R29" s="17"/>
      <c r="S29" s="17"/>
      <c r="T29" s="17"/>
      <c r="U29" s="17"/>
      <c r="V29" s="17"/>
      <c r="W29" s="17"/>
      <c r="X29" s="17"/>
      <c r="Y29" s="17"/>
      <c r="Z29" s="17"/>
    </row>
    <row r="30" spans="1:26" ht="14">
      <c r="A30" s="64" t="s">
        <v>342</v>
      </c>
      <c r="B30" s="17"/>
      <c r="C30" s="17"/>
      <c r="E30" s="55" t="str">
        <f ca="1">IFERROR(__xludf.DUMMYFUNCTION("""COMPUTED_VALUE"""),"Zenyum")</f>
        <v>Zenyum</v>
      </c>
      <c r="F30" s="17"/>
      <c r="G30" s="17"/>
      <c r="H30" s="17"/>
      <c r="I30" s="17"/>
      <c r="J30" s="17"/>
      <c r="K30" s="17"/>
      <c r="L30" s="17"/>
      <c r="M30" s="17"/>
      <c r="N30" s="17"/>
      <c r="O30" s="17"/>
      <c r="P30" s="17"/>
      <c r="Q30" s="17"/>
      <c r="R30" s="17"/>
      <c r="S30" s="17"/>
      <c r="T30" s="17"/>
      <c r="U30" s="17"/>
      <c r="V30" s="17"/>
      <c r="W30" s="17"/>
      <c r="X30" s="17"/>
      <c r="Y30" s="17"/>
      <c r="Z30" s="17"/>
    </row>
    <row r="31" spans="1:26" ht="13">
      <c r="A31" s="58"/>
      <c r="B31" s="17"/>
      <c r="C31" s="17"/>
      <c r="E31" s="55" t="str">
        <f ca="1">IFERROR(__xludf.DUMMYFUNCTION("""COMPUTED_VALUE"""),"HReasily")</f>
        <v>HReasily</v>
      </c>
      <c r="F31" s="17"/>
      <c r="G31" s="17"/>
      <c r="H31" s="17"/>
      <c r="I31" s="17"/>
      <c r="J31" s="17"/>
      <c r="K31" s="17"/>
      <c r="L31" s="17"/>
      <c r="M31" s="17"/>
      <c r="N31" s="17"/>
      <c r="O31" s="17"/>
      <c r="P31" s="17"/>
      <c r="Q31" s="17"/>
      <c r="R31" s="17"/>
      <c r="S31" s="17"/>
      <c r="T31" s="17"/>
      <c r="U31" s="17"/>
      <c r="V31" s="17"/>
      <c r="W31" s="17"/>
      <c r="X31" s="17"/>
      <c r="Y31" s="17"/>
      <c r="Z31" s="17"/>
    </row>
    <row r="32" spans="1:26" ht="14">
      <c r="A32" s="20" t="s">
        <v>368</v>
      </c>
      <c r="B32" s="17"/>
      <c r="C32" s="17"/>
      <c r="E32" s="17" t="str">
        <f ca="1">IFERROR(__xludf.DUMMYFUNCTION("""COMPUTED_VALUE"""),"Circles.Life")</f>
        <v>Circles.Life</v>
      </c>
      <c r="F32" s="17"/>
      <c r="G32" s="17"/>
      <c r="H32" s="17"/>
      <c r="I32" s="17"/>
      <c r="J32" s="17"/>
      <c r="K32" s="17"/>
      <c r="L32" s="17"/>
      <c r="M32" s="17"/>
      <c r="N32" s="17"/>
      <c r="O32" s="17"/>
      <c r="P32" s="17"/>
      <c r="Q32" s="17"/>
      <c r="R32" s="17"/>
      <c r="S32" s="17"/>
      <c r="T32" s="17"/>
      <c r="U32" s="17"/>
      <c r="V32" s="17"/>
      <c r="W32" s="17"/>
      <c r="X32" s="17"/>
      <c r="Y32" s="17"/>
      <c r="Z32" s="17"/>
    </row>
    <row r="33" spans="1:26" ht="14">
      <c r="A33" s="64" t="s">
        <v>372</v>
      </c>
      <c r="B33" s="17"/>
      <c r="C33" s="17"/>
      <c r="E33" s="17" t="str">
        <f ca="1">IFERROR(__xludf.DUMMYFUNCTION("""COMPUTED_VALUE"""),"Coda Payments")</f>
        <v>Coda Payments</v>
      </c>
      <c r="F33" s="17"/>
      <c r="G33" s="17"/>
      <c r="H33" s="17"/>
      <c r="I33" s="17"/>
      <c r="J33" s="17"/>
      <c r="K33" s="17"/>
      <c r="L33" s="17"/>
      <c r="M33" s="17"/>
      <c r="N33" s="17"/>
      <c r="O33" s="17"/>
      <c r="P33" s="17"/>
      <c r="Q33" s="17"/>
      <c r="R33" s="17"/>
      <c r="S33" s="17"/>
      <c r="T33" s="17"/>
      <c r="U33" s="17"/>
      <c r="V33" s="17"/>
      <c r="W33" s="17"/>
      <c r="X33" s="17"/>
      <c r="Y33" s="17"/>
      <c r="Z33" s="17"/>
    </row>
    <row r="34" spans="1:26" ht="13">
      <c r="A34" s="58"/>
      <c r="B34" s="17"/>
      <c r="C34" s="17"/>
      <c r="E34" s="17" t="str">
        <f ca="1">IFERROR(__xludf.DUMMYFUNCTION("""COMPUTED_VALUE"""),"GudangAda")</f>
        <v>GudangAda</v>
      </c>
      <c r="F34" s="17"/>
      <c r="G34" s="17"/>
      <c r="H34" s="17"/>
      <c r="I34" s="17"/>
      <c r="J34" s="17"/>
      <c r="K34" s="17"/>
      <c r="L34" s="17"/>
      <c r="M34" s="17"/>
      <c r="N34" s="17"/>
      <c r="O34" s="17"/>
      <c r="P34" s="17"/>
      <c r="Q34" s="17"/>
      <c r="R34" s="17"/>
      <c r="S34" s="17"/>
      <c r="T34" s="17"/>
      <c r="U34" s="17"/>
      <c r="V34" s="17"/>
      <c r="W34" s="17"/>
      <c r="X34" s="17"/>
      <c r="Y34" s="17"/>
      <c r="Z34" s="17"/>
    </row>
    <row r="35" spans="1:26" ht="14">
      <c r="A35" s="20" t="s">
        <v>384</v>
      </c>
      <c r="B35" s="17"/>
      <c r="C35" s="17"/>
      <c r="E35" s="17" t="str">
        <f ca="1">IFERROR(__xludf.DUMMYFUNCTION("""COMPUTED_VALUE"""),"Bolt Ventures")</f>
        <v>Bolt Ventures</v>
      </c>
      <c r="F35" s="17"/>
      <c r="G35" s="17"/>
      <c r="H35" s="17"/>
      <c r="I35" s="17"/>
      <c r="J35" s="17"/>
      <c r="K35" s="17"/>
      <c r="L35" s="17"/>
      <c r="M35" s="17"/>
      <c r="N35" s="17"/>
      <c r="O35" s="17"/>
      <c r="P35" s="17"/>
      <c r="Q35" s="17"/>
      <c r="R35" s="17"/>
      <c r="S35" s="17"/>
      <c r="T35" s="17"/>
      <c r="U35" s="17"/>
      <c r="V35" s="17"/>
      <c r="W35" s="17"/>
      <c r="X35" s="17"/>
      <c r="Y35" s="17"/>
      <c r="Z35" s="17"/>
    </row>
    <row r="36" spans="1:26" ht="112">
      <c r="A36" s="53" t="s">
        <v>393</v>
      </c>
      <c r="B36" s="17"/>
      <c r="C36" s="17"/>
      <c r="E36" s="17" t="str">
        <f ca="1">IFERROR(__xludf.DUMMYFUNCTION("""COMPUTED_VALUE"""),"GoWabi")</f>
        <v>GoWabi</v>
      </c>
      <c r="F36" s="17"/>
      <c r="G36" s="17"/>
      <c r="H36" s="17"/>
      <c r="I36" s="17"/>
      <c r="J36" s="17"/>
      <c r="K36" s="17"/>
      <c r="L36" s="17"/>
      <c r="M36" s="17"/>
      <c r="N36" s="17"/>
      <c r="O36" s="17"/>
      <c r="P36" s="17"/>
      <c r="Q36" s="17"/>
      <c r="R36" s="17"/>
      <c r="S36" s="17"/>
      <c r="T36" s="17"/>
      <c r="U36" s="17"/>
      <c r="V36" s="17"/>
      <c r="W36" s="17"/>
      <c r="X36" s="17"/>
      <c r="Y36" s="17"/>
      <c r="Z36" s="17"/>
    </row>
    <row r="37" spans="1:26" ht="13">
      <c r="A37" s="58"/>
      <c r="B37" s="17"/>
      <c r="C37" s="17"/>
      <c r="E37" s="55" t="str">
        <f ca="1">IFERROR(__xludf.DUMMYFUNCTION("""COMPUTED_VALUE"""),"Saison Capital")</f>
        <v>Saison Capital</v>
      </c>
      <c r="F37" s="17"/>
      <c r="G37" s="17"/>
      <c r="H37" s="17"/>
      <c r="I37" s="17"/>
      <c r="J37" s="17"/>
      <c r="K37" s="17"/>
      <c r="L37" s="17"/>
      <c r="M37" s="17"/>
      <c r="N37" s="17"/>
      <c r="O37" s="17"/>
      <c r="P37" s="17"/>
      <c r="Q37" s="17"/>
      <c r="R37" s="17"/>
      <c r="S37" s="17"/>
      <c r="T37" s="17"/>
      <c r="U37" s="17"/>
      <c r="V37" s="17"/>
      <c r="W37" s="17"/>
      <c r="X37" s="17"/>
      <c r="Y37" s="17"/>
      <c r="Z37" s="17"/>
    </row>
    <row r="38" spans="1:26" ht="13">
      <c r="A38" s="58"/>
      <c r="B38" s="17"/>
      <c r="C38" s="17"/>
      <c r="E38" s="17" t="str">
        <f ca="1">IFERROR(__xludf.DUMMYFUNCTION("""COMPUTED_VALUE"""),"AJAIB")</f>
        <v>AJAIB</v>
      </c>
      <c r="F38" s="17"/>
      <c r="G38" s="17"/>
      <c r="H38" s="17"/>
      <c r="I38" s="17"/>
      <c r="J38" s="17"/>
      <c r="K38" s="17"/>
      <c r="L38" s="17"/>
      <c r="M38" s="17"/>
      <c r="N38" s="17"/>
      <c r="O38" s="17"/>
      <c r="P38" s="17"/>
      <c r="Q38" s="17"/>
      <c r="R38" s="17"/>
      <c r="S38" s="17"/>
      <c r="T38" s="17"/>
      <c r="U38" s="17"/>
      <c r="V38" s="17"/>
      <c r="W38" s="17"/>
      <c r="X38" s="17"/>
      <c r="Y38" s="17"/>
      <c r="Z38" s="17"/>
    </row>
    <row r="39" spans="1:26" ht="13">
      <c r="A39" s="58"/>
      <c r="B39" s="17"/>
      <c r="C39" s="17"/>
      <c r="E39" s="17" t="str">
        <f ca="1">IFERROR(__xludf.DUMMYFUNCTION("""COMPUTED_VALUE"""),"ConnectOne Consulting")</f>
        <v>ConnectOne Consulting</v>
      </c>
      <c r="F39" s="17"/>
      <c r="G39" s="17"/>
      <c r="H39" s="17"/>
      <c r="I39" s="17"/>
      <c r="J39" s="17"/>
      <c r="K39" s="17"/>
      <c r="L39" s="17"/>
      <c r="M39" s="17"/>
      <c r="N39" s="17"/>
      <c r="O39" s="17"/>
      <c r="P39" s="17"/>
      <c r="Q39" s="17"/>
      <c r="R39" s="17"/>
      <c r="S39" s="17"/>
      <c r="T39" s="17"/>
      <c r="U39" s="17"/>
      <c r="V39" s="17"/>
      <c r="W39" s="17"/>
      <c r="X39" s="17"/>
      <c r="Y39" s="17"/>
      <c r="Z39" s="17"/>
    </row>
    <row r="40" spans="1:26" ht="13">
      <c r="A40" s="58"/>
      <c r="B40" s="17"/>
      <c r="C40" s="17"/>
      <c r="E40" s="17" t="str">
        <f ca="1">IFERROR(__xludf.DUMMYFUNCTION("""COMPUTED_VALUE"""),"Proxyclick")</f>
        <v>Proxyclick</v>
      </c>
      <c r="F40" s="17"/>
      <c r="G40" s="17"/>
      <c r="H40" s="17"/>
      <c r="I40" s="17"/>
      <c r="J40" s="17"/>
      <c r="K40" s="17"/>
      <c r="L40" s="17"/>
      <c r="M40" s="17"/>
      <c r="N40" s="17"/>
      <c r="O40" s="17"/>
      <c r="P40" s="17"/>
      <c r="Q40" s="17"/>
      <c r="R40" s="17"/>
      <c r="S40" s="17"/>
      <c r="T40" s="17"/>
      <c r="U40" s="17"/>
      <c r="V40" s="17"/>
      <c r="W40" s="17"/>
      <c r="X40" s="17"/>
      <c r="Y40" s="17"/>
      <c r="Z40" s="17"/>
    </row>
    <row r="41" spans="1:26" ht="13">
      <c r="A41" s="58"/>
      <c r="B41" s="17"/>
      <c r="C41" s="17"/>
      <c r="E41" s="17" t="str">
        <f ca="1">IFERROR(__xludf.DUMMYFUNCTION("""COMPUTED_VALUE"""),"Asia Law Network / Tessaract.io")</f>
        <v>Asia Law Network / Tessaract.io</v>
      </c>
      <c r="F41" s="17"/>
      <c r="G41" s="17"/>
      <c r="H41" s="17"/>
      <c r="I41" s="17"/>
      <c r="J41" s="17"/>
      <c r="K41" s="17"/>
      <c r="L41" s="17"/>
      <c r="M41" s="17"/>
      <c r="N41" s="17"/>
      <c r="O41" s="17"/>
      <c r="P41" s="17"/>
      <c r="Q41" s="17"/>
      <c r="R41" s="17"/>
      <c r="S41" s="17"/>
      <c r="T41" s="17"/>
      <c r="U41" s="17"/>
      <c r="V41" s="17"/>
      <c r="W41" s="17"/>
      <c r="X41" s="17"/>
      <c r="Y41" s="17"/>
      <c r="Z41" s="17"/>
    </row>
    <row r="42" spans="1:26" ht="13">
      <c r="A42" s="58"/>
      <c r="B42" s="17"/>
      <c r="C42" s="17"/>
      <c r="E42" s="17" t="str">
        <f ca="1">IFERROR(__xludf.DUMMYFUNCTION("""COMPUTED_VALUE"""),"Carousell")</f>
        <v>Carousell</v>
      </c>
      <c r="F42" s="17"/>
      <c r="G42" s="17"/>
      <c r="H42" s="17"/>
      <c r="I42" s="17"/>
      <c r="J42" s="17"/>
      <c r="K42" s="17"/>
      <c r="L42" s="17"/>
      <c r="M42" s="17"/>
      <c r="N42" s="17"/>
      <c r="O42" s="17"/>
      <c r="P42" s="17"/>
      <c r="Q42" s="17"/>
      <c r="R42" s="17"/>
      <c r="S42" s="17"/>
      <c r="T42" s="17"/>
      <c r="U42" s="17"/>
      <c r="V42" s="17"/>
      <c r="W42" s="17"/>
      <c r="X42" s="17"/>
      <c r="Y42" s="17"/>
      <c r="Z42" s="17"/>
    </row>
    <row r="43" spans="1:26" ht="13">
      <c r="A43" s="58"/>
      <c r="B43" s="17"/>
      <c r="C43" s="17"/>
      <c r="E43" s="17" t="str">
        <f ca="1">IFERROR(__xludf.DUMMYFUNCTION("""COMPUTED_VALUE"""),"Carsome")</f>
        <v>Carsome</v>
      </c>
      <c r="F43" s="17"/>
      <c r="G43" s="17"/>
      <c r="H43" s="17"/>
      <c r="I43" s="17"/>
      <c r="J43" s="17"/>
      <c r="K43" s="17"/>
      <c r="L43" s="17"/>
      <c r="M43" s="17"/>
      <c r="N43" s="17"/>
      <c r="O43" s="17"/>
      <c r="P43" s="17"/>
      <c r="Q43" s="17"/>
      <c r="R43" s="17"/>
      <c r="S43" s="17"/>
      <c r="T43" s="17"/>
      <c r="U43" s="17"/>
      <c r="V43" s="17"/>
      <c r="W43" s="17"/>
      <c r="X43" s="17"/>
      <c r="Y43" s="17"/>
      <c r="Z43" s="17"/>
    </row>
    <row r="44" spans="1:26" ht="13">
      <c r="A44" s="58"/>
      <c r="B44" s="17"/>
      <c r="C44" s="17"/>
      <c r="E44" s="17" t="str">
        <f ca="1">IFERROR(__xludf.DUMMYFUNCTION("""COMPUTED_VALUE"""),"EngageRocket")</f>
        <v>EngageRocket</v>
      </c>
      <c r="F44" s="17"/>
      <c r="G44" s="17"/>
      <c r="H44" s="17"/>
      <c r="I44" s="17"/>
      <c r="J44" s="17"/>
      <c r="K44" s="17"/>
      <c r="L44" s="17"/>
      <c r="M44" s="17"/>
      <c r="N44" s="17"/>
      <c r="O44" s="17"/>
      <c r="P44" s="17"/>
      <c r="Q44" s="17"/>
      <c r="R44" s="17"/>
      <c r="S44" s="17"/>
      <c r="T44" s="17"/>
      <c r="U44" s="17"/>
      <c r="V44" s="17"/>
      <c r="W44" s="17"/>
      <c r="X44" s="17"/>
      <c r="Y44" s="17"/>
      <c r="Z44" s="17"/>
    </row>
    <row r="45" spans="1:26" ht="13">
      <c r="A45" s="58"/>
      <c r="B45" s="17"/>
      <c r="C45" s="17"/>
      <c r="E45" s="17" t="str">
        <f ca="1">IFERROR(__xludf.DUMMYFUNCTION("""COMPUTED_VALUE"""),"Funding Societies")</f>
        <v>Funding Societies</v>
      </c>
      <c r="F45" s="17"/>
      <c r="G45" s="17"/>
      <c r="H45" s="17"/>
      <c r="I45" s="17"/>
      <c r="J45" s="17"/>
      <c r="K45" s="17"/>
      <c r="L45" s="17"/>
      <c r="M45" s="17"/>
      <c r="N45" s="17"/>
      <c r="O45" s="17"/>
      <c r="P45" s="17"/>
      <c r="Q45" s="17"/>
      <c r="R45" s="17"/>
      <c r="S45" s="17"/>
      <c r="T45" s="17"/>
      <c r="U45" s="17"/>
      <c r="V45" s="17"/>
      <c r="W45" s="17"/>
      <c r="X45" s="17"/>
      <c r="Y45" s="17"/>
      <c r="Z45" s="17"/>
    </row>
    <row r="46" spans="1:26" ht="13">
      <c r="A46" s="58"/>
      <c r="B46" s="17"/>
      <c r="C46" s="17"/>
      <c r="E46" s="17" t="str">
        <f ca="1">IFERROR(__xludf.DUMMYFUNCTION("""COMPUTED_VALUE"""),"GoBear")</f>
        <v>GoBear</v>
      </c>
      <c r="F46" s="17"/>
      <c r="G46" s="17"/>
      <c r="H46" s="17"/>
      <c r="I46" s="17"/>
      <c r="J46" s="17"/>
      <c r="K46" s="17"/>
      <c r="L46" s="17"/>
      <c r="M46" s="17"/>
      <c r="N46" s="17"/>
      <c r="O46" s="17"/>
      <c r="P46" s="17"/>
      <c r="Q46" s="17"/>
      <c r="R46" s="17"/>
      <c r="S46" s="17"/>
      <c r="T46" s="17"/>
      <c r="U46" s="17"/>
      <c r="V46" s="17"/>
      <c r="W46" s="17"/>
      <c r="X46" s="17"/>
      <c r="Y46" s="17"/>
      <c r="Z46" s="17"/>
    </row>
    <row r="47" spans="1:26" ht="13">
      <c r="A47" s="58"/>
      <c r="B47" s="17"/>
      <c r="C47" s="17"/>
      <c r="E47" s="17" t="str">
        <f ca="1">IFERROR(__xludf.DUMMYFUNCTION("""COMPUTED_VALUE"""),"Homage")</f>
        <v>Homage</v>
      </c>
      <c r="F47" s="17"/>
      <c r="G47" s="17"/>
      <c r="H47" s="17"/>
      <c r="I47" s="17"/>
      <c r="J47" s="17"/>
      <c r="K47" s="17"/>
      <c r="L47" s="17"/>
      <c r="M47" s="17"/>
      <c r="N47" s="17"/>
      <c r="O47" s="17"/>
      <c r="P47" s="17"/>
      <c r="Q47" s="17"/>
      <c r="R47" s="17"/>
      <c r="S47" s="17"/>
      <c r="T47" s="17"/>
      <c r="U47" s="17"/>
      <c r="V47" s="17"/>
      <c r="W47" s="17"/>
      <c r="X47" s="17"/>
      <c r="Y47" s="17"/>
      <c r="Z47" s="17"/>
    </row>
    <row r="48" spans="1:26" ht="13">
      <c r="A48" s="58"/>
      <c r="B48" s="17"/>
      <c r="C48" s="17"/>
      <c r="E48" s="17" t="str">
        <f ca="1">IFERROR(__xludf.DUMMYFUNCTION("""COMPUTED_VALUE"""),"MadThread")</f>
        <v>MadThread</v>
      </c>
      <c r="F48" s="17"/>
      <c r="G48" s="17"/>
      <c r="H48" s="17"/>
      <c r="I48" s="17"/>
      <c r="J48" s="17"/>
      <c r="K48" s="17"/>
      <c r="L48" s="17"/>
      <c r="M48" s="17"/>
      <c r="N48" s="17"/>
      <c r="O48" s="17"/>
      <c r="P48" s="17"/>
      <c r="Q48" s="17"/>
      <c r="R48" s="17"/>
      <c r="S48" s="17"/>
      <c r="T48" s="17"/>
      <c r="U48" s="17"/>
      <c r="V48" s="17"/>
      <c r="W48" s="17"/>
      <c r="X48" s="17"/>
      <c r="Y48" s="17"/>
      <c r="Z48" s="17"/>
    </row>
    <row r="49" spans="1:26" ht="13">
      <c r="A49" s="58"/>
      <c r="B49" s="17"/>
      <c r="C49" s="17"/>
      <c r="E49" s="17" t="str">
        <f ca="1">IFERROR(__xludf.DUMMYFUNCTION("""COMPUTED_VALUE"""),"Patsnap")</f>
        <v>Patsnap</v>
      </c>
      <c r="F49" s="17"/>
      <c r="G49" s="17"/>
      <c r="H49" s="17"/>
      <c r="I49" s="17"/>
      <c r="J49" s="17"/>
      <c r="K49" s="17"/>
      <c r="L49" s="17"/>
      <c r="M49" s="17"/>
      <c r="N49" s="17"/>
      <c r="O49" s="17"/>
      <c r="P49" s="17"/>
      <c r="Q49" s="17"/>
      <c r="R49" s="17"/>
      <c r="S49" s="17"/>
      <c r="T49" s="17"/>
      <c r="U49" s="17"/>
      <c r="V49" s="17"/>
      <c r="W49" s="17"/>
      <c r="X49" s="17"/>
      <c r="Y49" s="17"/>
      <c r="Z49" s="17"/>
    </row>
    <row r="50" spans="1:26" ht="13">
      <c r="A50" s="58"/>
      <c r="B50" s="17"/>
      <c r="C50" s="17"/>
      <c r="E50" s="17" t="str">
        <f ca="1">IFERROR(__xludf.DUMMYFUNCTION("""COMPUTED_VALUE"""),"Reap")</f>
        <v>Reap</v>
      </c>
      <c r="F50" s="17"/>
      <c r="G50" s="17"/>
      <c r="H50" s="17"/>
      <c r="I50" s="17"/>
      <c r="J50" s="17"/>
      <c r="K50" s="17"/>
      <c r="L50" s="17"/>
      <c r="M50" s="17"/>
      <c r="N50" s="17"/>
      <c r="O50" s="17"/>
      <c r="P50" s="17"/>
      <c r="Q50" s="17"/>
      <c r="R50" s="17"/>
      <c r="S50" s="17"/>
      <c r="T50" s="17"/>
      <c r="U50" s="17"/>
      <c r="V50" s="17"/>
      <c r="W50" s="17"/>
      <c r="X50" s="17"/>
      <c r="Y50" s="17"/>
      <c r="Z50" s="17"/>
    </row>
    <row r="51" spans="1:26" ht="13">
      <c r="A51" s="58"/>
      <c r="B51" s="17"/>
      <c r="C51" s="17"/>
      <c r="E51" s="17" t="str">
        <f ca="1">IFERROR(__xludf.DUMMYFUNCTION("""COMPUTED_VALUE"""),"SHAREit")</f>
        <v>SHAREit</v>
      </c>
      <c r="F51" s="17"/>
      <c r="G51" s="17"/>
      <c r="H51" s="17"/>
      <c r="I51" s="17"/>
      <c r="J51" s="17"/>
      <c r="K51" s="17"/>
      <c r="L51" s="17"/>
      <c r="M51" s="17"/>
      <c r="N51" s="17"/>
      <c r="O51" s="17"/>
      <c r="P51" s="17"/>
      <c r="Q51" s="17"/>
      <c r="R51" s="17"/>
      <c r="S51" s="17"/>
      <c r="T51" s="17"/>
      <c r="U51" s="17"/>
      <c r="V51" s="17"/>
      <c r="W51" s="17"/>
      <c r="X51" s="17"/>
      <c r="Y51" s="17"/>
      <c r="Z51" s="17"/>
    </row>
    <row r="52" spans="1:26" ht="13">
      <c r="A52" s="58"/>
      <c r="B52" s="17"/>
      <c r="C52" s="17"/>
      <c r="E52" s="17" t="str">
        <f ca="1">IFERROR(__xludf.DUMMYFUNCTION("""COMPUTED_VALUE"""),"SP Group")</f>
        <v>SP Group</v>
      </c>
      <c r="F52" s="17"/>
      <c r="G52" s="17"/>
      <c r="H52" s="17"/>
      <c r="I52" s="17"/>
      <c r="J52" s="17"/>
      <c r="K52" s="17"/>
      <c r="L52" s="17"/>
      <c r="M52" s="17"/>
      <c r="N52" s="17"/>
      <c r="O52" s="17"/>
      <c r="P52" s="17"/>
      <c r="Q52" s="17"/>
      <c r="R52" s="17"/>
      <c r="S52" s="17"/>
      <c r="T52" s="17"/>
      <c r="U52" s="17"/>
      <c r="V52" s="17"/>
      <c r="W52" s="17"/>
      <c r="X52" s="17"/>
      <c r="Y52" s="17"/>
      <c r="Z52" s="17"/>
    </row>
    <row r="53" spans="1:26" ht="13">
      <c r="A53" s="58"/>
      <c r="B53" s="17"/>
      <c r="C53" s="17"/>
      <c r="E53" s="17" t="str">
        <f ca="1">IFERROR(__xludf.DUMMYFUNCTION("""COMPUTED_VALUE"""),"Stripe")</f>
        <v>Stripe</v>
      </c>
      <c r="F53" s="17"/>
      <c r="G53" s="17"/>
      <c r="H53" s="17"/>
      <c r="I53" s="17"/>
      <c r="J53" s="17"/>
      <c r="K53" s="17"/>
      <c r="L53" s="17"/>
      <c r="M53" s="17"/>
      <c r="N53" s="17"/>
      <c r="O53" s="17"/>
      <c r="P53" s="17"/>
      <c r="Q53" s="17"/>
      <c r="R53" s="17"/>
      <c r="S53" s="17"/>
      <c r="T53" s="17"/>
      <c r="U53" s="17"/>
      <c r="V53" s="17"/>
      <c r="W53" s="17"/>
      <c r="X53" s="17"/>
      <c r="Y53" s="17"/>
      <c r="Z53" s="17"/>
    </row>
    <row r="54" spans="1:26" ht="13">
      <c r="A54" s="58"/>
      <c r="B54" s="17"/>
      <c r="C54" s="17"/>
      <c r="E54" s="17" t="str">
        <f ca="1">IFERROR(__xludf.DUMMYFUNCTION("""COMPUTED_VALUE"""),"Synchronous")</f>
        <v>Synchronous</v>
      </c>
      <c r="F54" s="17"/>
      <c r="G54" s="17"/>
      <c r="H54" s="17"/>
      <c r="I54" s="17"/>
      <c r="J54" s="17"/>
      <c r="K54" s="17"/>
      <c r="L54" s="17"/>
      <c r="M54" s="17"/>
      <c r="N54" s="17"/>
      <c r="O54" s="17"/>
      <c r="P54" s="17"/>
      <c r="Q54" s="17"/>
      <c r="R54" s="17"/>
      <c r="S54" s="17"/>
      <c r="T54" s="17"/>
      <c r="U54" s="17"/>
      <c r="V54" s="17"/>
      <c r="W54" s="17"/>
      <c r="X54" s="17"/>
      <c r="Y54" s="17"/>
      <c r="Z54" s="17"/>
    </row>
    <row r="55" spans="1:26" ht="13">
      <c r="A55" s="58"/>
      <c r="B55" s="17"/>
      <c r="C55" s="17"/>
      <c r="E55" s="17" t="str">
        <f ca="1">IFERROR(__xludf.DUMMYFUNCTION("""COMPUTED_VALUE"""),"Teora Pte Ltd")</f>
        <v>Teora Pte Ltd</v>
      </c>
      <c r="F55" s="17"/>
      <c r="G55" s="17"/>
      <c r="H55" s="17"/>
      <c r="I55" s="17"/>
      <c r="J55" s="17"/>
      <c r="K55" s="17"/>
      <c r="L55" s="17"/>
      <c r="M55" s="17"/>
      <c r="N55" s="17"/>
      <c r="O55" s="17"/>
      <c r="P55" s="17"/>
      <c r="Q55" s="17"/>
      <c r="R55" s="17"/>
      <c r="S55" s="17"/>
      <c r="T55" s="17"/>
      <c r="U55" s="17"/>
      <c r="V55" s="17"/>
      <c r="W55" s="17"/>
      <c r="X55" s="17"/>
      <c r="Y55" s="17"/>
      <c r="Z55" s="17"/>
    </row>
    <row r="56" spans="1:26" ht="13">
      <c r="A56" s="58"/>
      <c r="B56" s="17"/>
      <c r="C56" s="17"/>
      <c r="E56" s="17" t="str">
        <f ca="1">IFERROR(__xludf.DUMMYFUNCTION("""COMPUTED_VALUE"""),"The Maomi Group Pte Ltd")</f>
        <v>The Maomi Group Pte Ltd</v>
      </c>
      <c r="F56" s="17"/>
      <c r="G56" s="17"/>
      <c r="H56" s="17"/>
      <c r="I56" s="17"/>
      <c r="J56" s="17"/>
      <c r="K56" s="17"/>
      <c r="L56" s="17"/>
      <c r="M56" s="17"/>
      <c r="N56" s="17"/>
      <c r="O56" s="17"/>
      <c r="P56" s="17"/>
      <c r="Q56" s="17"/>
      <c r="R56" s="17"/>
      <c r="S56" s="17"/>
      <c r="T56" s="17"/>
      <c r="U56" s="17"/>
      <c r="V56" s="17"/>
      <c r="W56" s="17"/>
      <c r="X56" s="17"/>
      <c r="Y56" s="17"/>
      <c r="Z56" s="17"/>
    </row>
    <row r="57" spans="1:26" ht="13">
      <c r="A57" s="58"/>
      <c r="B57" s="17"/>
      <c r="C57" s="17"/>
      <c r="E57" s="17" t="str">
        <f ca="1">IFERROR(__xludf.DUMMYFUNCTION("""COMPUTED_VALUE"""),"TourHero")</f>
        <v>TourHero</v>
      </c>
      <c r="F57" s="17"/>
      <c r="G57" s="17"/>
      <c r="H57" s="17"/>
      <c r="I57" s="17"/>
      <c r="J57" s="17"/>
      <c r="K57" s="17"/>
      <c r="L57" s="17"/>
      <c r="M57" s="17"/>
      <c r="N57" s="17"/>
      <c r="O57" s="17"/>
      <c r="P57" s="17"/>
      <c r="Q57" s="17"/>
      <c r="R57" s="17"/>
      <c r="S57" s="17"/>
      <c r="T57" s="17"/>
      <c r="U57" s="17"/>
      <c r="V57" s="17"/>
      <c r="W57" s="17"/>
      <c r="X57" s="17"/>
      <c r="Y57" s="17"/>
      <c r="Z57" s="17"/>
    </row>
    <row r="58" spans="1:26" ht="13">
      <c r="A58" s="58"/>
      <c r="B58" s="17"/>
      <c r="C58" s="17"/>
      <c r="E58" s="17" t="str">
        <f ca="1">IFERROR(__xludf.DUMMYFUNCTION("""COMPUTED_VALUE"""),"Tour Mount Bromo ")</f>
        <v xml:space="preserve">Tour Mount Bromo </v>
      </c>
      <c r="F58" s="17"/>
      <c r="G58" s="17"/>
      <c r="H58" s="17"/>
      <c r="I58" s="17"/>
      <c r="J58" s="17"/>
      <c r="K58" s="17"/>
      <c r="L58" s="17"/>
      <c r="M58" s="17"/>
      <c r="N58" s="17"/>
      <c r="O58" s="17"/>
      <c r="P58" s="17"/>
      <c r="Q58" s="17"/>
      <c r="R58" s="17"/>
      <c r="S58" s="17"/>
      <c r="T58" s="17"/>
      <c r="U58" s="17"/>
      <c r="V58" s="17"/>
      <c r="W58" s="17"/>
      <c r="X58" s="17"/>
      <c r="Y58" s="17"/>
      <c r="Z58" s="17"/>
    </row>
    <row r="59" spans="1:26" ht="13">
      <c r="A59" s="58"/>
      <c r="B59" s="17"/>
      <c r="C59" s="17"/>
      <c r="E59" s="17" t="str">
        <f ca="1">IFERROR(__xludf.DUMMYFUNCTION("""COMPUTED_VALUE"""),"Jualo")</f>
        <v>Jualo</v>
      </c>
      <c r="F59" s="17"/>
      <c r="G59" s="17"/>
      <c r="H59" s="17"/>
      <c r="I59" s="17"/>
      <c r="J59" s="17"/>
      <c r="K59" s="17"/>
      <c r="L59" s="17"/>
      <c r="M59" s="17"/>
      <c r="N59" s="17"/>
      <c r="O59" s="17"/>
      <c r="P59" s="17"/>
      <c r="Q59" s="17"/>
      <c r="R59" s="17"/>
      <c r="S59" s="17"/>
      <c r="T59" s="17"/>
      <c r="U59" s="17"/>
      <c r="V59" s="17"/>
      <c r="W59" s="17"/>
      <c r="X59" s="17"/>
      <c r="Y59" s="17"/>
      <c r="Z59" s="17"/>
    </row>
    <row r="60" spans="1:26" ht="13">
      <c r="A60" s="58"/>
      <c r="B60" s="17"/>
      <c r="C60" s="17"/>
      <c r="E60" s="17" t="str">
        <f ca="1">IFERROR(__xludf.DUMMYFUNCTION("""COMPUTED_VALUE"""),"Tetmon")</f>
        <v>Tetmon</v>
      </c>
      <c r="F60" s="17"/>
      <c r="G60" s="17"/>
      <c r="H60" s="17"/>
      <c r="I60" s="17"/>
      <c r="J60" s="17"/>
      <c r="K60" s="17"/>
      <c r="L60" s="17"/>
      <c r="M60" s="17"/>
      <c r="N60" s="17"/>
      <c r="O60" s="17"/>
      <c r="P60" s="17"/>
      <c r="Q60" s="17"/>
      <c r="R60" s="17"/>
      <c r="S60" s="17"/>
      <c r="T60" s="17"/>
      <c r="U60" s="17"/>
      <c r="V60" s="17"/>
      <c r="W60" s="17"/>
      <c r="X60" s="17"/>
      <c r="Y60" s="17"/>
      <c r="Z60" s="17"/>
    </row>
    <row r="61" spans="1:26" ht="13">
      <c r="A61" s="58"/>
      <c r="B61" s="17"/>
      <c r="C61" s="17"/>
      <c r="E61" s="17" t="str">
        <f ca="1">IFERROR(__xludf.DUMMYFUNCTION("""COMPUTED_VALUE"""),"Call-Levels")</f>
        <v>Call-Levels</v>
      </c>
      <c r="F61" s="17"/>
      <c r="G61" s="17"/>
      <c r="H61" s="17"/>
      <c r="I61" s="17"/>
      <c r="J61" s="17"/>
      <c r="K61" s="17"/>
      <c r="L61" s="17"/>
      <c r="M61" s="17"/>
      <c r="N61" s="17"/>
      <c r="O61" s="17"/>
      <c r="P61" s="17"/>
      <c r="Q61" s="17"/>
      <c r="R61" s="17"/>
      <c r="S61" s="17"/>
      <c r="T61" s="17"/>
      <c r="U61" s="17"/>
      <c r="V61" s="17"/>
      <c r="W61" s="17"/>
      <c r="X61" s="17"/>
      <c r="Y61" s="17"/>
      <c r="Z61" s="17"/>
    </row>
    <row r="62" spans="1:26" ht="13">
      <c r="A62" s="58"/>
      <c r="B62" s="17"/>
      <c r="C62" s="17"/>
      <c r="E62" s="17" t="str">
        <f ca="1">IFERROR(__xludf.DUMMYFUNCTION("""COMPUTED_VALUE"""),"Hashstacs")</f>
        <v>Hashstacs</v>
      </c>
      <c r="F62" s="17"/>
      <c r="G62" s="17"/>
      <c r="H62" s="17"/>
      <c r="I62" s="17"/>
      <c r="J62" s="17"/>
      <c r="K62" s="17"/>
      <c r="L62" s="17"/>
      <c r="M62" s="17"/>
      <c r="N62" s="17"/>
      <c r="O62" s="17"/>
      <c r="P62" s="17"/>
      <c r="Q62" s="17"/>
      <c r="R62" s="17"/>
      <c r="S62" s="17"/>
      <c r="T62" s="17"/>
      <c r="U62" s="17"/>
      <c r="V62" s="17"/>
      <c r="W62" s="17"/>
      <c r="X62" s="17"/>
      <c r="Y62" s="17"/>
      <c r="Z62" s="17"/>
    </row>
    <row r="63" spans="1:26" ht="13">
      <c r="A63" s="58"/>
      <c r="B63" s="17"/>
      <c r="C63" s="17"/>
      <c r="E63" s="17" t="str">
        <f ca="1">IFERROR(__xludf.DUMMYFUNCTION("""COMPUTED_VALUE"""),"MDI Ventures")</f>
        <v>MDI Ventures</v>
      </c>
      <c r="F63" s="17"/>
      <c r="G63" s="17"/>
      <c r="H63" s="17"/>
      <c r="I63" s="17"/>
      <c r="J63" s="17"/>
      <c r="K63" s="17"/>
      <c r="L63" s="17"/>
      <c r="M63" s="17"/>
      <c r="N63" s="17"/>
      <c r="O63" s="17"/>
      <c r="P63" s="17"/>
      <c r="Q63" s="17"/>
      <c r="R63" s="17"/>
      <c r="S63" s="17"/>
      <c r="T63" s="17"/>
      <c r="U63" s="17"/>
      <c r="V63" s="17"/>
      <c r="W63" s="17"/>
      <c r="X63" s="17"/>
      <c r="Y63" s="17"/>
      <c r="Z63" s="17"/>
    </row>
    <row r="64" spans="1:26" ht="13">
      <c r="A64" s="58"/>
      <c r="B64" s="17"/>
      <c r="C64" s="17"/>
      <c r="E64" s="17" t="str">
        <f ca="1">IFERROR(__xludf.DUMMYFUNCTION("""COMPUTED_VALUE"""),"BRANKAS")</f>
        <v>BRANKAS</v>
      </c>
      <c r="F64" s="17"/>
      <c r="G64" s="17"/>
      <c r="H64" s="17"/>
      <c r="I64" s="17"/>
      <c r="J64" s="17"/>
      <c r="K64" s="17"/>
      <c r="L64" s="17"/>
      <c r="M64" s="17"/>
      <c r="N64" s="17"/>
      <c r="O64" s="17"/>
      <c r="P64" s="17"/>
      <c r="Q64" s="17"/>
      <c r="R64" s="17"/>
      <c r="S64" s="17"/>
      <c r="T64" s="17"/>
      <c r="U64" s="17"/>
      <c r="V64" s="17"/>
      <c r="W64" s="17"/>
      <c r="X64" s="17"/>
      <c r="Y64" s="17"/>
      <c r="Z64" s="17"/>
    </row>
    <row r="65" spans="1:26" ht="13">
      <c r="A65" s="58"/>
      <c r="B65" s="17"/>
      <c r="C65" s="17"/>
      <c r="E65" s="17" t="str">
        <f ca="1">IFERROR(__xludf.DUMMYFUNCTION("""COMPUTED_VALUE"""),"Plato Medical")</f>
        <v>Plato Medical</v>
      </c>
      <c r="F65" s="17"/>
      <c r="G65" s="17"/>
      <c r="H65" s="17"/>
      <c r="I65" s="17"/>
      <c r="J65" s="17"/>
      <c r="K65" s="17"/>
      <c r="L65" s="17"/>
      <c r="M65" s="17"/>
      <c r="N65" s="17"/>
      <c r="O65" s="17"/>
      <c r="P65" s="17"/>
      <c r="Q65" s="17"/>
      <c r="R65" s="17"/>
      <c r="S65" s="17"/>
      <c r="T65" s="17"/>
      <c r="U65" s="17"/>
      <c r="V65" s="17"/>
      <c r="W65" s="17"/>
      <c r="X65" s="17"/>
      <c r="Y65" s="17"/>
      <c r="Z65" s="17"/>
    </row>
    <row r="66" spans="1:26" ht="13">
      <c r="A66" s="58"/>
      <c r="B66" s="17"/>
      <c r="C66" s="17"/>
      <c r="E66" s="17" t="str">
        <f ca="1">IFERROR(__xludf.DUMMYFUNCTION("""COMPUTED_VALUE"""),"JobKred Pte Ltd")</f>
        <v>JobKred Pte Ltd</v>
      </c>
      <c r="F66" s="17"/>
      <c r="G66" s="17"/>
      <c r="H66" s="17"/>
      <c r="I66" s="17"/>
      <c r="J66" s="17"/>
      <c r="K66" s="17"/>
      <c r="L66" s="17"/>
      <c r="M66" s="17"/>
      <c r="N66" s="17"/>
      <c r="O66" s="17"/>
      <c r="P66" s="17"/>
      <c r="Q66" s="17"/>
      <c r="R66" s="17"/>
      <c r="S66" s="17"/>
      <c r="T66" s="17"/>
      <c r="U66" s="17"/>
      <c r="V66" s="17"/>
      <c r="W66" s="17"/>
      <c r="X66" s="17"/>
      <c r="Y66" s="17"/>
      <c r="Z66" s="17"/>
    </row>
    <row r="67" spans="1:26" ht="13">
      <c r="A67" s="58"/>
      <c r="B67" s="17"/>
      <c r="C67" s="17"/>
      <c r="E67" s="17" t="str">
        <f ca="1">IFERROR(__xludf.DUMMYFUNCTION("""COMPUTED_VALUE"""),"Cialfo")</f>
        <v>Cialfo</v>
      </c>
      <c r="F67" s="17"/>
      <c r="G67" s="17"/>
      <c r="H67" s="17"/>
      <c r="I67" s="17"/>
      <c r="J67" s="17"/>
      <c r="K67" s="17"/>
      <c r="L67" s="17"/>
      <c r="M67" s="17"/>
      <c r="N67" s="17"/>
      <c r="O67" s="17"/>
      <c r="P67" s="17"/>
      <c r="Q67" s="17"/>
      <c r="R67" s="17"/>
      <c r="S67" s="17"/>
      <c r="T67" s="17"/>
      <c r="U67" s="17"/>
      <c r="V67" s="17"/>
      <c r="W67" s="17"/>
      <c r="X67" s="17"/>
      <c r="Y67" s="17"/>
      <c r="Z67" s="17"/>
    </row>
    <row r="68" spans="1:26" ht="13">
      <c r="A68" s="58"/>
      <c r="B68" s="17"/>
      <c r="C68" s="17"/>
      <c r="E68" s="17" t="str">
        <f ca="1">IFERROR(__xludf.DUMMYFUNCTION("""COMPUTED_VALUE"""),"Kopi Kenangan")</f>
        <v>Kopi Kenangan</v>
      </c>
      <c r="F68" s="17"/>
      <c r="G68" s="17"/>
      <c r="H68" s="17"/>
      <c r="I68" s="17"/>
      <c r="J68" s="17"/>
      <c r="K68" s="17"/>
      <c r="L68" s="17"/>
      <c r="M68" s="17"/>
      <c r="N68" s="17"/>
      <c r="O68" s="17"/>
      <c r="P68" s="17"/>
      <c r="Q68" s="17"/>
      <c r="R68" s="17"/>
      <c r="S68" s="17"/>
      <c r="T68" s="17"/>
      <c r="U68" s="17"/>
      <c r="V68" s="17"/>
      <c r="W68" s="17"/>
      <c r="X68" s="17"/>
      <c r="Y68" s="17"/>
      <c r="Z68" s="17"/>
    </row>
    <row r="69" spans="1:26" ht="13">
      <c r="A69" s="58"/>
      <c r="B69" s="17"/>
      <c r="C69" s="17"/>
      <c r="E69" s="55" t="str">
        <f ca="1">IFERROR(__xludf.DUMMYFUNCTION("""COMPUTED_VALUE"""),"mamikos.com")</f>
        <v>mamikos.com</v>
      </c>
      <c r="F69" s="17"/>
      <c r="G69" s="17"/>
      <c r="H69" s="17"/>
      <c r="I69" s="17"/>
      <c r="J69" s="17"/>
      <c r="K69" s="17"/>
      <c r="L69" s="17"/>
      <c r="M69" s="17"/>
      <c r="N69" s="17"/>
      <c r="O69" s="17"/>
      <c r="P69" s="17"/>
      <c r="Q69" s="17"/>
      <c r="R69" s="17"/>
      <c r="S69" s="17"/>
      <c r="T69" s="17"/>
      <c r="U69" s="17"/>
      <c r="V69" s="17"/>
      <c r="W69" s="17"/>
      <c r="X69" s="17"/>
      <c r="Y69" s="17"/>
      <c r="Z69" s="17"/>
    </row>
    <row r="70" spans="1:26" ht="13">
      <c r="A70" s="58"/>
      <c r="B70" s="17"/>
      <c r="C70" s="17"/>
      <c r="E70" s="17" t="str">
        <f ca="1">IFERROR(__xludf.DUMMYFUNCTION("""COMPUTED_VALUE"""),"Xendit")</f>
        <v>Xendit</v>
      </c>
      <c r="F70" s="17"/>
      <c r="G70" s="17"/>
      <c r="H70" s="17"/>
      <c r="I70" s="17"/>
      <c r="J70" s="17"/>
      <c r="K70" s="17"/>
      <c r="L70" s="17"/>
      <c r="M70" s="17"/>
      <c r="N70" s="17"/>
      <c r="O70" s="17"/>
      <c r="P70" s="17"/>
      <c r="Q70" s="17"/>
      <c r="R70" s="17"/>
      <c r="S70" s="17"/>
      <c r="T70" s="17"/>
      <c r="U70" s="17"/>
      <c r="V70" s="17"/>
      <c r="W70" s="17"/>
      <c r="X70" s="17"/>
      <c r="Y70" s="17"/>
      <c r="Z70" s="17"/>
    </row>
    <row r="71" spans="1:26" ht="13">
      <c r="A71" s="58"/>
      <c r="B71" s="17"/>
      <c r="C71" s="17"/>
      <c r="E71" s="17" t="str">
        <f ca="1">IFERROR(__xludf.DUMMYFUNCTION("""COMPUTED_VALUE"""),"SecureAge Technology")</f>
        <v>SecureAge Technology</v>
      </c>
      <c r="F71" s="17"/>
      <c r="G71" s="17"/>
      <c r="H71" s="17"/>
      <c r="I71" s="17"/>
      <c r="J71" s="17"/>
      <c r="K71" s="17"/>
      <c r="L71" s="17"/>
      <c r="M71" s="17"/>
      <c r="N71" s="17"/>
      <c r="O71" s="17"/>
      <c r="P71" s="17"/>
      <c r="Q71" s="17"/>
      <c r="R71" s="17"/>
      <c r="S71" s="17"/>
      <c r="T71" s="17"/>
      <c r="U71" s="17"/>
      <c r="V71" s="17"/>
      <c r="W71" s="17"/>
      <c r="X71" s="17"/>
      <c r="Y71" s="17"/>
      <c r="Z71" s="17"/>
    </row>
    <row r="72" spans="1:26" ht="13">
      <c r="A72" s="58"/>
      <c r="B72" s="17"/>
      <c r="C72" s="17"/>
      <c r="E72" s="17" t="str">
        <f ca="1">IFERROR(__xludf.DUMMYFUNCTION("""COMPUTED_VALUE"""),"PolicyPal Singapore Pte Ltd")</f>
        <v>PolicyPal Singapore Pte Ltd</v>
      </c>
      <c r="F72" s="17"/>
      <c r="G72" s="17"/>
      <c r="H72" s="17"/>
      <c r="I72" s="17"/>
      <c r="J72" s="17"/>
      <c r="K72" s="17"/>
      <c r="L72" s="17"/>
      <c r="M72" s="17"/>
      <c r="N72" s="17"/>
      <c r="O72" s="17"/>
      <c r="P72" s="17"/>
      <c r="Q72" s="17"/>
      <c r="R72" s="17"/>
      <c r="S72" s="17"/>
      <c r="T72" s="17"/>
      <c r="U72" s="17"/>
      <c r="V72" s="17"/>
      <c r="W72" s="17"/>
      <c r="X72" s="17"/>
      <c r="Y72" s="17"/>
      <c r="Z72" s="17"/>
    </row>
    <row r="73" spans="1:26" ht="13">
      <c r="A73" s="58"/>
      <c r="B73" s="17"/>
      <c r="C73" s="17"/>
      <c r="E73" s="17" t="str">
        <f ca="1">IFERROR(__xludf.DUMMYFUNCTION("""COMPUTED_VALUE"""),"Bobobox")</f>
        <v>Bobobox</v>
      </c>
      <c r="F73" s="17"/>
      <c r="G73" s="17"/>
      <c r="H73" s="17"/>
      <c r="I73" s="17"/>
      <c r="J73" s="17"/>
      <c r="K73" s="17"/>
      <c r="L73" s="17"/>
      <c r="M73" s="17"/>
      <c r="N73" s="17"/>
      <c r="O73" s="17"/>
      <c r="P73" s="17"/>
      <c r="Q73" s="17"/>
      <c r="R73" s="17"/>
      <c r="S73" s="17"/>
      <c r="T73" s="17"/>
      <c r="U73" s="17"/>
      <c r="V73" s="17"/>
      <c r="W73" s="17"/>
      <c r="X73" s="17"/>
      <c r="Y73" s="17"/>
      <c r="Z73" s="17"/>
    </row>
    <row r="74" spans="1:26" ht="13">
      <c r="A74" s="58"/>
      <c r="B74" s="17"/>
      <c r="C74" s="17"/>
      <c r="E74" s="17" t="str">
        <f ca="1">IFERROR(__xludf.DUMMYFUNCTION("""COMPUTED_VALUE"""),"")</f>
        <v/>
      </c>
      <c r="F74" s="17"/>
      <c r="G74" s="17"/>
      <c r="H74" s="17"/>
      <c r="I74" s="17"/>
      <c r="J74" s="17"/>
      <c r="K74" s="17"/>
      <c r="L74" s="17"/>
      <c r="M74" s="17"/>
      <c r="N74" s="17"/>
      <c r="O74" s="17"/>
      <c r="P74" s="17"/>
      <c r="Q74" s="17"/>
      <c r="R74" s="17"/>
      <c r="S74" s="17"/>
      <c r="T74" s="17"/>
      <c r="U74" s="17"/>
      <c r="V74" s="17"/>
      <c r="W74" s="17"/>
      <c r="X74" s="17"/>
      <c r="Y74" s="17"/>
      <c r="Z74" s="17"/>
    </row>
    <row r="75" spans="1:26" ht="13">
      <c r="A75" s="58"/>
      <c r="B75" s="17"/>
      <c r="C75" s="17"/>
      <c r="E75" s="17" t="str">
        <f ca="1">IFERROR(__xludf.DUMMYFUNCTION("""COMPUTED_VALUE"""),"BCG Digital Ventures")</f>
        <v>BCG Digital Ventures</v>
      </c>
      <c r="F75" s="17"/>
      <c r="G75" s="17"/>
      <c r="H75" s="17"/>
      <c r="I75" s="17"/>
      <c r="J75" s="17"/>
      <c r="K75" s="17"/>
      <c r="L75" s="17"/>
      <c r="M75" s="17"/>
      <c r="N75" s="17"/>
      <c r="O75" s="17"/>
      <c r="P75" s="17"/>
      <c r="Q75" s="17"/>
      <c r="R75" s="17"/>
      <c r="S75" s="17"/>
      <c r="T75" s="17"/>
      <c r="U75" s="17"/>
      <c r="V75" s="17"/>
      <c r="W75" s="17"/>
      <c r="X75" s="17"/>
      <c r="Y75" s="17"/>
      <c r="Z75" s="17"/>
    </row>
    <row r="76" spans="1:26" ht="13">
      <c r="A76" s="58"/>
      <c r="B76" s="17"/>
      <c r="C76" s="17"/>
      <c r="E76" s="17" t="str">
        <f ca="1">IFERROR(__xludf.DUMMYFUNCTION("""COMPUTED_VALUE"""),"Main Games Indonesia")</f>
        <v>Main Games Indonesia</v>
      </c>
      <c r="F76" s="17"/>
      <c r="G76" s="17"/>
      <c r="H76" s="17"/>
      <c r="I76" s="17"/>
      <c r="J76" s="17"/>
      <c r="K76" s="17"/>
      <c r="L76" s="17"/>
      <c r="M76" s="17"/>
      <c r="N76" s="17"/>
      <c r="O76" s="17"/>
      <c r="P76" s="17"/>
      <c r="Q76" s="17"/>
      <c r="R76" s="17"/>
      <c r="S76" s="17"/>
      <c r="T76" s="17"/>
      <c r="U76" s="17"/>
      <c r="V76" s="17"/>
      <c r="W76" s="17"/>
      <c r="X76" s="17"/>
      <c r="Y76" s="17"/>
      <c r="Z76" s="17"/>
    </row>
    <row r="77" spans="1:26" ht="13">
      <c r="A77" s="58"/>
      <c r="B77" s="17"/>
      <c r="C77" s="17"/>
      <c r="E77" s="17" t="str">
        <f ca="1">IFERROR(__xludf.DUMMYFUNCTION("""COMPUTED_VALUE"""),"Smart Tradzt Sdn Bhd")</f>
        <v>Smart Tradzt Sdn Bhd</v>
      </c>
      <c r="F77" s="17"/>
      <c r="G77" s="17"/>
      <c r="H77" s="17"/>
      <c r="I77" s="17"/>
      <c r="J77" s="17"/>
      <c r="K77" s="17"/>
      <c r="L77" s="17"/>
      <c r="M77" s="17"/>
      <c r="N77" s="17"/>
      <c r="O77" s="17"/>
      <c r="P77" s="17"/>
      <c r="Q77" s="17"/>
      <c r="R77" s="17"/>
      <c r="S77" s="17"/>
      <c r="T77" s="17"/>
      <c r="U77" s="17"/>
      <c r="V77" s="17"/>
      <c r="W77" s="17"/>
      <c r="X77" s="17"/>
      <c r="Y77" s="17"/>
      <c r="Z77" s="17"/>
    </row>
    <row r="78" spans="1:26" ht="13">
      <c r="A78" s="58"/>
      <c r="B78" s="17"/>
      <c r="C78" s="17"/>
      <c r="E78" s="17" t="str">
        <f ca="1">IFERROR(__xludf.DUMMYFUNCTION("""COMPUTED_VALUE"""),"Halodoc")</f>
        <v>Halodoc</v>
      </c>
      <c r="F78" s="17"/>
      <c r="G78" s="17"/>
      <c r="H78" s="17"/>
      <c r="I78" s="17"/>
      <c r="J78" s="17"/>
      <c r="K78" s="17"/>
      <c r="L78" s="17"/>
      <c r="M78" s="17"/>
      <c r="N78" s="17"/>
      <c r="O78" s="17"/>
      <c r="P78" s="17"/>
      <c r="Q78" s="17"/>
      <c r="R78" s="17"/>
      <c r="S78" s="17"/>
      <c r="T78" s="17"/>
      <c r="U78" s="17"/>
      <c r="V78" s="17"/>
      <c r="W78" s="17"/>
      <c r="X78" s="17"/>
      <c r="Y78" s="17"/>
      <c r="Z78" s="17"/>
    </row>
    <row r="79" spans="1:26" ht="13">
      <c r="A79" s="58"/>
      <c r="B79" s="17"/>
      <c r="C79" s="17"/>
      <c r="E79" s="17" t="str">
        <f ca="1">IFERROR(__xludf.DUMMYFUNCTION("""COMPUTED_VALUE"""),"TaniHub Group")</f>
        <v>TaniHub Group</v>
      </c>
      <c r="F79" s="17"/>
      <c r="G79" s="17"/>
      <c r="H79" s="17"/>
      <c r="I79" s="17"/>
      <c r="J79" s="17"/>
      <c r="K79" s="17"/>
      <c r="L79" s="17"/>
      <c r="M79" s="17"/>
      <c r="N79" s="17"/>
      <c r="O79" s="17"/>
      <c r="P79" s="17"/>
      <c r="Q79" s="17"/>
      <c r="R79" s="17"/>
      <c r="S79" s="17"/>
      <c r="T79" s="17"/>
      <c r="U79" s="17"/>
      <c r="V79" s="17"/>
      <c r="W79" s="17"/>
      <c r="X79" s="17"/>
      <c r="Y79" s="17"/>
      <c r="Z79" s="17"/>
    </row>
    <row r="80" spans="1:26" ht="13">
      <c r="A80" s="58"/>
      <c r="B80" s="17"/>
      <c r="C80" s="17"/>
      <c r="E80" s="17" t="str">
        <f ca="1">IFERROR(__xludf.DUMMYFUNCTION("""COMPUTED_VALUE"""),"Gaia (stealth code name)")</f>
        <v>Gaia (stealth code name)</v>
      </c>
      <c r="F80" s="17"/>
      <c r="G80" s="17"/>
      <c r="H80" s="17"/>
      <c r="I80" s="17"/>
      <c r="J80" s="17"/>
      <c r="K80" s="17"/>
      <c r="L80" s="17"/>
      <c r="M80" s="17"/>
      <c r="N80" s="17"/>
      <c r="O80" s="17"/>
      <c r="P80" s="17"/>
      <c r="Q80" s="17"/>
      <c r="R80" s="17"/>
      <c r="S80" s="17"/>
      <c r="T80" s="17"/>
      <c r="U80" s="17"/>
      <c r="V80" s="17"/>
      <c r="W80" s="17"/>
      <c r="X80" s="17"/>
      <c r="Y80" s="17"/>
      <c r="Z80" s="17"/>
    </row>
    <row r="81" spans="1:26" ht="13">
      <c r="A81" s="58"/>
      <c r="B81" s="17"/>
      <c r="C81" s="17"/>
      <c r="E81" s="17" t="str">
        <f ca="1">IFERROR(__xludf.DUMMYFUNCTION("""COMPUTED_VALUE"""),"YukStay")</f>
        <v>YukStay</v>
      </c>
      <c r="F81" s="17"/>
      <c r="G81" s="17"/>
      <c r="H81" s="17"/>
      <c r="I81" s="17"/>
      <c r="J81" s="17"/>
      <c r="K81" s="17"/>
      <c r="L81" s="17"/>
      <c r="M81" s="17"/>
      <c r="N81" s="17"/>
      <c r="O81" s="17"/>
      <c r="P81" s="17"/>
      <c r="Q81" s="17"/>
      <c r="R81" s="17"/>
      <c r="S81" s="17"/>
      <c r="T81" s="17"/>
      <c r="U81" s="17"/>
      <c r="V81" s="17"/>
      <c r="W81" s="17"/>
      <c r="X81" s="17"/>
      <c r="Y81" s="17"/>
      <c r="Z81" s="17"/>
    </row>
    <row r="82" spans="1:26" ht="13">
      <c r="A82" s="58"/>
      <c r="B82" s="17"/>
      <c r="C82" s="17"/>
      <c r="E82" s="17" t="str">
        <f ca="1">IFERROR(__xludf.DUMMYFUNCTION("""COMPUTED_VALUE"""),"Konvergen AI")</f>
        <v>Konvergen AI</v>
      </c>
      <c r="F82" s="17"/>
      <c r="G82" s="17"/>
      <c r="H82" s="17"/>
      <c r="I82" s="17"/>
      <c r="J82" s="17"/>
      <c r="K82" s="17"/>
      <c r="L82" s="17"/>
      <c r="M82" s="17"/>
      <c r="N82" s="17"/>
      <c r="O82" s="17"/>
      <c r="P82" s="17"/>
      <c r="Q82" s="17"/>
      <c r="R82" s="17"/>
      <c r="S82" s="17"/>
      <c r="T82" s="17"/>
      <c r="U82" s="17"/>
      <c r="V82" s="17"/>
      <c r="W82" s="17"/>
      <c r="X82" s="17"/>
      <c r="Y82" s="17"/>
      <c r="Z82" s="17"/>
    </row>
    <row r="83" spans="1:26" ht="13">
      <c r="A83" s="58"/>
      <c r="B83" s="17"/>
      <c r="C83" s="17"/>
      <c r="E83" s="17" t="str">
        <f ca="1">IFERROR(__xludf.DUMMYFUNCTION("""COMPUTED_VALUE"""),"")</f>
        <v/>
      </c>
      <c r="F83" s="17"/>
      <c r="G83" s="17"/>
      <c r="H83" s="17"/>
      <c r="I83" s="17"/>
      <c r="J83" s="17"/>
      <c r="K83" s="17"/>
      <c r="L83" s="17"/>
      <c r="M83" s="17"/>
      <c r="N83" s="17"/>
      <c r="O83" s="17"/>
      <c r="P83" s="17"/>
      <c r="Q83" s="17"/>
      <c r="R83" s="17"/>
      <c r="S83" s="17"/>
      <c r="T83" s="17"/>
      <c r="U83" s="17"/>
      <c r="V83" s="17"/>
      <c r="W83" s="17"/>
      <c r="X83" s="17"/>
      <c r="Y83" s="17"/>
      <c r="Z83" s="17"/>
    </row>
    <row r="84" spans="1:26" ht="13">
      <c r="A84" s="58"/>
      <c r="B84" s="17"/>
      <c r="C84" s="17"/>
      <c r="E84" s="17" t="str">
        <f ca="1">IFERROR(__xludf.DUMMYFUNCTION("""COMPUTED_VALUE"""),"Peasy AI")</f>
        <v>Peasy AI</v>
      </c>
      <c r="F84" s="17"/>
      <c r="G84" s="17"/>
      <c r="H84" s="17"/>
      <c r="I84" s="17"/>
      <c r="J84" s="17"/>
      <c r="K84" s="17"/>
      <c r="L84" s="17"/>
      <c r="M84" s="17"/>
      <c r="N84" s="17"/>
      <c r="O84" s="17"/>
      <c r="P84" s="17"/>
      <c r="Q84" s="17"/>
      <c r="R84" s="17"/>
      <c r="S84" s="17"/>
      <c r="T84" s="17"/>
      <c r="U84" s="17"/>
      <c r="V84" s="17"/>
      <c r="W84" s="17"/>
      <c r="X84" s="17"/>
      <c r="Y84" s="17"/>
      <c r="Z84" s="17"/>
    </row>
    <row r="85" spans="1:26" ht="13">
      <c r="A85" s="58"/>
      <c r="B85" s="17"/>
      <c r="C85" s="17"/>
      <c r="D85" s="17"/>
      <c r="E85" s="17" t="str">
        <f ca="1">IFERROR(__xludf.DUMMYFUNCTION("""COMPUTED_VALUE"""),"Binary Group Services")</f>
        <v>Binary Group Services</v>
      </c>
      <c r="F85" s="17"/>
      <c r="G85" s="17"/>
      <c r="H85" s="17"/>
      <c r="I85" s="17"/>
      <c r="J85" s="17"/>
      <c r="K85" s="17"/>
      <c r="L85" s="17"/>
      <c r="M85" s="17"/>
      <c r="N85" s="17"/>
      <c r="O85" s="17"/>
      <c r="P85" s="17"/>
      <c r="Q85" s="17"/>
      <c r="R85" s="17"/>
      <c r="S85" s="17"/>
      <c r="T85" s="17"/>
      <c r="U85" s="17"/>
      <c r="V85" s="17"/>
      <c r="W85" s="17"/>
      <c r="X85" s="17"/>
      <c r="Y85" s="17"/>
      <c r="Z85" s="17"/>
    </row>
    <row r="86" spans="1:26" ht="13">
      <c r="A86" s="58"/>
      <c r="B86" s="17"/>
      <c r="C86" s="17"/>
      <c r="D86" s="17"/>
      <c r="E86" s="55" t="str">
        <f ca="1">IFERROR(__xludf.DUMMYFUNCTION("""COMPUTED_VALUE"""),"SehatQ.com")</f>
        <v>SehatQ.com</v>
      </c>
      <c r="F86" s="17"/>
      <c r="G86" s="17"/>
      <c r="H86" s="17"/>
      <c r="I86" s="17"/>
      <c r="J86" s="17"/>
      <c r="K86" s="17"/>
      <c r="L86" s="17"/>
      <c r="M86" s="17"/>
      <c r="N86" s="17"/>
      <c r="O86" s="17"/>
      <c r="P86" s="17"/>
      <c r="Q86" s="17"/>
      <c r="R86" s="17"/>
      <c r="S86" s="17"/>
      <c r="T86" s="17"/>
      <c r="U86" s="17"/>
      <c r="V86" s="17"/>
      <c r="W86" s="17"/>
      <c r="X86" s="17"/>
      <c r="Y86" s="17"/>
      <c r="Z86" s="17"/>
    </row>
    <row r="87" spans="1:26" ht="13">
      <c r="A87" s="58"/>
      <c r="B87" s="17"/>
      <c r="C87" s="17"/>
      <c r="D87" s="17"/>
      <c r="E87" s="17" t="str">
        <f ca="1">IFERROR(__xludf.DUMMYFUNCTION("""COMPUTED_VALUE"""),"InfinitiLab Sdn. Bhd.")</f>
        <v>InfinitiLab Sdn. Bhd.</v>
      </c>
      <c r="F87" s="17"/>
      <c r="G87" s="17"/>
      <c r="H87" s="17"/>
      <c r="I87" s="17"/>
      <c r="J87" s="17"/>
      <c r="K87" s="17"/>
      <c r="L87" s="17"/>
      <c r="M87" s="17"/>
      <c r="N87" s="17"/>
      <c r="O87" s="17"/>
      <c r="P87" s="17"/>
      <c r="Q87" s="17"/>
      <c r="R87" s="17"/>
      <c r="S87" s="17"/>
      <c r="T87" s="17"/>
      <c r="U87" s="17"/>
      <c r="V87" s="17"/>
      <c r="W87" s="17"/>
      <c r="X87" s="17"/>
      <c r="Y87" s="17"/>
      <c r="Z87" s="17"/>
    </row>
    <row r="88" spans="1:26" ht="13">
      <c r="A88" s="58"/>
      <c r="B88" s="17"/>
      <c r="C88" s="17"/>
      <c r="D88" s="17"/>
      <c r="E88" s="55" t="str">
        <f ca="1">IFERROR(__xludf.DUMMYFUNCTION("""COMPUTED_VALUE"""),"INMAGINE")</f>
        <v>INMAGINE</v>
      </c>
      <c r="F88" s="17"/>
      <c r="G88" s="17"/>
      <c r="H88" s="17"/>
      <c r="I88" s="17"/>
      <c r="J88" s="17"/>
      <c r="K88" s="17"/>
      <c r="L88" s="17"/>
      <c r="M88" s="17"/>
      <c r="N88" s="17"/>
      <c r="O88" s="17"/>
      <c r="P88" s="17"/>
      <c r="Q88" s="17"/>
      <c r="R88" s="17"/>
      <c r="S88" s="17"/>
      <c r="T88" s="17"/>
      <c r="U88" s="17"/>
      <c r="V88" s="17"/>
      <c r="W88" s="17"/>
      <c r="X88" s="17"/>
      <c r="Y88" s="17"/>
      <c r="Z88" s="17"/>
    </row>
    <row r="89" spans="1:26" ht="13">
      <c r="A89" s="58"/>
      <c r="B89" s="17"/>
      <c r="C89" s="17"/>
      <c r="D89" s="17"/>
      <c r="E89" s="17" t="str">
        <f ca="1">IFERROR(__xludf.DUMMYFUNCTION("""COMPUTED_VALUE"""),"Blockdynamics")</f>
        <v>Blockdynamics</v>
      </c>
      <c r="F89" s="17"/>
      <c r="G89" s="17"/>
      <c r="H89" s="17"/>
      <c r="I89" s="17"/>
      <c r="J89" s="17"/>
      <c r="K89" s="17"/>
      <c r="L89" s="17"/>
      <c r="M89" s="17"/>
      <c r="N89" s="17"/>
      <c r="O89" s="17"/>
      <c r="P89" s="17"/>
      <c r="Q89" s="17"/>
      <c r="R89" s="17"/>
      <c r="S89" s="17"/>
      <c r="T89" s="17"/>
      <c r="U89" s="17"/>
      <c r="V89" s="17"/>
      <c r="W89" s="17"/>
      <c r="X89" s="17"/>
      <c r="Y89" s="17"/>
      <c r="Z89" s="17"/>
    </row>
    <row r="90" spans="1:26" ht="13">
      <c r="A90" s="58"/>
      <c r="B90" s="17"/>
      <c r="C90" s="17"/>
      <c r="D90" s="17"/>
      <c r="E90" s="17" t="str">
        <f ca="1">IFERROR(__xludf.DUMMYFUNCTION("""COMPUTED_VALUE"""),"Zenius")</f>
        <v>Zenius</v>
      </c>
      <c r="F90" s="17"/>
      <c r="G90" s="17"/>
      <c r="H90" s="17"/>
      <c r="I90" s="17"/>
      <c r="J90" s="17"/>
      <c r="K90" s="17"/>
      <c r="L90" s="17"/>
      <c r="M90" s="17"/>
      <c r="N90" s="17"/>
      <c r="O90" s="17"/>
      <c r="P90" s="17"/>
      <c r="Q90" s="17"/>
      <c r="R90" s="17"/>
      <c r="S90" s="17"/>
      <c r="T90" s="17"/>
      <c r="U90" s="17"/>
      <c r="V90" s="17"/>
      <c r="W90" s="17"/>
      <c r="X90" s="17"/>
      <c r="Y90" s="17"/>
      <c r="Z90" s="17"/>
    </row>
    <row r="91" spans="1:26" ht="13">
      <c r="A91" s="58"/>
      <c r="B91" s="17"/>
      <c r="C91" s="17"/>
      <c r="D91" s="17"/>
      <c r="E91" s="17" t="str">
        <f ca="1">IFERROR(__xludf.DUMMYFUNCTION("""COMPUTED_VALUE"""),"WORQ Coworking Space ")</f>
        <v xml:space="preserve">WORQ Coworking Space </v>
      </c>
      <c r="F91" s="17"/>
      <c r="G91" s="17"/>
      <c r="H91" s="17"/>
      <c r="I91" s="17"/>
      <c r="J91" s="17"/>
      <c r="K91" s="17"/>
      <c r="L91" s="17"/>
      <c r="M91" s="17"/>
      <c r="N91" s="17"/>
      <c r="O91" s="17"/>
      <c r="P91" s="17"/>
      <c r="Q91" s="17"/>
      <c r="R91" s="17"/>
      <c r="S91" s="17"/>
      <c r="T91" s="17"/>
      <c r="U91" s="17"/>
      <c r="V91" s="17"/>
      <c r="W91" s="17"/>
      <c r="X91" s="17"/>
      <c r="Y91" s="17"/>
      <c r="Z91" s="17"/>
    </row>
    <row r="92" spans="1:26" ht="13">
      <c r="A92" s="58"/>
      <c r="B92" s="17"/>
      <c r="C92" s="17"/>
      <c r="D92" s="17"/>
      <c r="E92" s="17" t="str">
        <f ca="1">IFERROR(__xludf.DUMMYFUNCTION("""COMPUTED_VALUE"""),"Nimble")</f>
        <v>Nimble</v>
      </c>
      <c r="F92" s="17"/>
      <c r="G92" s="17"/>
      <c r="H92" s="17"/>
      <c r="I92" s="17"/>
      <c r="J92" s="17"/>
      <c r="K92" s="17"/>
      <c r="L92" s="17"/>
      <c r="M92" s="17"/>
      <c r="N92" s="17"/>
      <c r="O92" s="17"/>
      <c r="P92" s="17"/>
      <c r="Q92" s="17"/>
      <c r="R92" s="17"/>
      <c r="S92" s="17"/>
      <c r="T92" s="17"/>
      <c r="U92" s="17"/>
      <c r="V92" s="17"/>
      <c r="W92" s="17"/>
      <c r="X92" s="17"/>
      <c r="Y92" s="17"/>
      <c r="Z92" s="17"/>
    </row>
    <row r="93" spans="1:26" ht="13">
      <c r="A93" s="58"/>
      <c r="B93" s="17"/>
      <c r="C93" s="17"/>
      <c r="D93" s="17"/>
      <c r="E93" s="17" t="str">
        <f ca="1">IFERROR(__xludf.DUMMYFUNCTION("""COMPUTED_VALUE"""),"Siklus")</f>
        <v>Siklus</v>
      </c>
      <c r="F93" s="17"/>
      <c r="G93" s="17"/>
      <c r="H93" s="17"/>
      <c r="I93" s="17"/>
      <c r="J93" s="17"/>
      <c r="K93" s="17"/>
      <c r="L93" s="17"/>
      <c r="M93" s="17"/>
      <c r="N93" s="17"/>
      <c r="O93" s="17"/>
      <c r="P93" s="17"/>
      <c r="Q93" s="17"/>
      <c r="R93" s="17"/>
      <c r="S93" s="17"/>
      <c r="T93" s="17"/>
      <c r="U93" s="17"/>
      <c r="V93" s="17"/>
      <c r="W93" s="17"/>
      <c r="X93" s="17"/>
      <c r="Y93" s="17"/>
      <c r="Z93" s="17"/>
    </row>
    <row r="94" spans="1:26" ht="13">
      <c r="A94" s="58"/>
      <c r="B94" s="17"/>
      <c r="C94" s="17"/>
      <c r="D94" s="17"/>
      <c r="E94" s="17" t="str">
        <f ca="1">IFERROR(__xludf.DUMMYFUNCTION("""COMPUTED_VALUE"""),"Du Anyam
 (PT Karya Dua Anyam)")</f>
        <v>Du Anyam
 (PT Karya Dua Anyam)</v>
      </c>
      <c r="F94" s="17"/>
      <c r="G94" s="17"/>
      <c r="H94" s="17"/>
      <c r="I94" s="17"/>
      <c r="J94" s="17"/>
      <c r="K94" s="17"/>
      <c r="L94" s="17"/>
      <c r="M94" s="17"/>
      <c r="N94" s="17"/>
      <c r="O94" s="17"/>
      <c r="P94" s="17"/>
      <c r="Q94" s="17"/>
      <c r="R94" s="17"/>
      <c r="S94" s="17"/>
      <c r="T94" s="17"/>
      <c r="U94" s="17"/>
      <c r="V94" s="17"/>
      <c r="W94" s="17"/>
      <c r="X94" s="17"/>
      <c r="Y94" s="17"/>
      <c r="Z94" s="17"/>
    </row>
    <row r="95" spans="1:26" ht="13">
      <c r="A95" s="58"/>
      <c r="B95" s="17"/>
      <c r="C95" s="17"/>
      <c r="D95" s="17"/>
      <c r="E95" s="17" t="str">
        <f ca="1">IFERROR(__xludf.DUMMYFUNCTION("""COMPUTED_VALUE"""),"Network Guard")</f>
        <v>Network Guard</v>
      </c>
      <c r="F95" s="17"/>
      <c r="G95" s="17"/>
      <c r="H95" s="17"/>
      <c r="I95" s="17"/>
      <c r="J95" s="17"/>
      <c r="K95" s="17"/>
      <c r="L95" s="17"/>
      <c r="M95" s="17"/>
      <c r="N95" s="17"/>
      <c r="O95" s="17"/>
      <c r="P95" s="17"/>
      <c r="Q95" s="17"/>
      <c r="R95" s="17"/>
      <c r="S95" s="17"/>
      <c r="T95" s="17"/>
      <c r="U95" s="17"/>
      <c r="V95" s="17"/>
      <c r="W95" s="17"/>
      <c r="X95" s="17"/>
      <c r="Y95" s="17"/>
      <c r="Z95" s="17"/>
    </row>
    <row r="96" spans="1:26" ht="13">
      <c r="A96" s="58"/>
      <c r="B96" s="17"/>
      <c r="C96" s="17"/>
      <c r="D96" s="17"/>
      <c r="E96" s="17" t="str">
        <f ca="1">IFERROR(__xludf.DUMMYFUNCTION("""COMPUTED_VALUE"""),"Fairtech")</f>
        <v>Fairtech</v>
      </c>
      <c r="F96" s="17"/>
      <c r="G96" s="17"/>
      <c r="H96" s="17"/>
      <c r="I96" s="17"/>
      <c r="J96" s="17"/>
      <c r="K96" s="17"/>
      <c r="L96" s="17"/>
      <c r="M96" s="17"/>
      <c r="N96" s="17"/>
      <c r="O96" s="17"/>
      <c r="P96" s="17"/>
      <c r="Q96" s="17"/>
      <c r="R96" s="17"/>
      <c r="S96" s="17"/>
      <c r="T96" s="17"/>
      <c r="U96" s="17"/>
      <c r="V96" s="17"/>
      <c r="W96" s="17"/>
      <c r="X96" s="17"/>
      <c r="Y96" s="17"/>
      <c r="Z96" s="17"/>
    </row>
    <row r="97" spans="1:26" ht="13">
      <c r="A97" s="58"/>
      <c r="B97" s="17"/>
      <c r="C97" s="17"/>
      <c r="D97" s="17"/>
      <c r="E97" s="17" t="str">
        <f ca="1">IFERROR(__xludf.DUMMYFUNCTION("""COMPUTED_VALUE"""),"foodpanda")</f>
        <v>foodpanda</v>
      </c>
      <c r="F97" s="17"/>
      <c r="G97" s="17"/>
      <c r="H97" s="17"/>
      <c r="I97" s="17"/>
      <c r="J97" s="17"/>
      <c r="K97" s="17"/>
      <c r="L97" s="17"/>
      <c r="M97" s="17"/>
      <c r="N97" s="17"/>
      <c r="O97" s="17"/>
      <c r="P97" s="17"/>
      <c r="Q97" s="17"/>
      <c r="R97" s="17"/>
      <c r="S97" s="17"/>
      <c r="T97" s="17"/>
      <c r="U97" s="17"/>
      <c r="V97" s="17"/>
      <c r="W97" s="17"/>
      <c r="X97" s="17"/>
      <c r="Y97" s="17"/>
      <c r="Z97" s="17"/>
    </row>
    <row r="98" spans="1:26" ht="13">
      <c r="A98" s="58"/>
      <c r="B98" s="17"/>
      <c r="C98" s="17"/>
      <c r="D98" s="17"/>
      <c r="E98" s="17" t="str">
        <f ca="1">IFERROR(__xludf.DUMMYFUNCTION("""COMPUTED_VALUE"""),"Fling Company Limited")</f>
        <v>Fling Company Limited</v>
      </c>
      <c r="F98" s="17"/>
      <c r="G98" s="17"/>
      <c r="H98" s="17"/>
      <c r="I98" s="17"/>
      <c r="J98" s="17"/>
      <c r="K98" s="17"/>
      <c r="L98" s="17"/>
      <c r="M98" s="17"/>
      <c r="N98" s="17"/>
      <c r="O98" s="17"/>
      <c r="P98" s="17"/>
      <c r="Q98" s="17"/>
      <c r="R98" s="17"/>
      <c r="S98" s="17"/>
      <c r="T98" s="17"/>
      <c r="U98" s="17"/>
      <c r="V98" s="17"/>
      <c r="W98" s="17"/>
      <c r="X98" s="17"/>
      <c r="Y98" s="17"/>
      <c r="Z98" s="17"/>
    </row>
    <row r="99" spans="1:26" ht="13">
      <c r="A99" s="58"/>
      <c r="B99" s="17"/>
      <c r="C99" s="17"/>
      <c r="D99" s="17"/>
      <c r="E99" s="17" t="str">
        <f ca="1">IFERROR(__xludf.DUMMYFUNCTION("""COMPUTED_VALUE"""),"Shopee")</f>
        <v>Shopee</v>
      </c>
      <c r="F99" s="17"/>
      <c r="G99" s="17"/>
      <c r="H99" s="17"/>
      <c r="I99" s="17"/>
      <c r="J99" s="17"/>
      <c r="K99" s="17"/>
      <c r="L99" s="17"/>
      <c r="M99" s="17"/>
      <c r="N99" s="17"/>
      <c r="O99" s="17"/>
      <c r="P99" s="17"/>
      <c r="Q99" s="17"/>
      <c r="R99" s="17"/>
      <c r="S99" s="17"/>
      <c r="T99" s="17"/>
      <c r="U99" s="17"/>
      <c r="V99" s="17"/>
      <c r="W99" s="17"/>
      <c r="X99" s="17"/>
      <c r="Y99" s="17"/>
      <c r="Z99" s="17"/>
    </row>
    <row r="100" spans="1:26" ht="13">
      <c r="A100" s="58"/>
      <c r="B100" s="17"/>
      <c r="C100" s="17"/>
      <c r="D100" s="17"/>
      <c r="E100" s="17" t="str">
        <f ca="1">IFERROR(__xludf.DUMMYFUNCTION("""COMPUTED_VALUE"""),"Dkatalis")</f>
        <v>Dkatalis</v>
      </c>
      <c r="F100" s="17"/>
      <c r="G100" s="17"/>
      <c r="H100" s="17"/>
      <c r="I100" s="17"/>
      <c r="J100" s="17"/>
      <c r="K100" s="17"/>
      <c r="L100" s="17"/>
      <c r="M100" s="17"/>
      <c r="N100" s="17"/>
      <c r="O100" s="17"/>
      <c r="P100" s="17"/>
      <c r="Q100" s="17"/>
      <c r="R100" s="17"/>
      <c r="S100" s="17"/>
      <c r="T100" s="17"/>
      <c r="U100" s="17"/>
      <c r="V100" s="17"/>
      <c r="W100" s="17"/>
      <c r="X100" s="17"/>
      <c r="Y100" s="17"/>
      <c r="Z100" s="17"/>
    </row>
    <row r="101" spans="1:26" ht="13">
      <c r="A101" s="58"/>
      <c r="B101" s="17"/>
      <c r="C101" s="17"/>
      <c r="D101" s="17"/>
      <c r="E101" s="17" t="str">
        <f ca="1">IFERROR(__xludf.DUMMYFUNCTION("""COMPUTED_VALUE"""),"Ackerman Global Search")</f>
        <v>Ackerman Global Search</v>
      </c>
      <c r="F101" s="17"/>
      <c r="G101" s="17"/>
      <c r="H101" s="17"/>
      <c r="I101" s="17"/>
      <c r="J101" s="17"/>
      <c r="K101" s="17"/>
      <c r="L101" s="17"/>
      <c r="M101" s="17"/>
      <c r="N101" s="17"/>
      <c r="O101" s="17"/>
      <c r="P101" s="17"/>
      <c r="Q101" s="17"/>
      <c r="R101" s="17"/>
      <c r="S101" s="17"/>
      <c r="T101" s="17"/>
      <c r="U101" s="17"/>
      <c r="V101" s="17"/>
      <c r="W101" s="17"/>
      <c r="X101" s="17"/>
      <c r="Y101" s="17"/>
      <c r="Z101" s="17"/>
    </row>
    <row r="102" spans="1:26" ht="13">
      <c r="A102" s="58"/>
      <c r="B102" s="17"/>
      <c r="C102" s="17"/>
      <c r="D102" s="17"/>
      <c r="E102" s="17" t="str">
        <f ca="1">IFERROR(__xludf.DUMMYFUNCTION("""COMPUTED_VALUE"""),"Augmentus")</f>
        <v>Augmentus</v>
      </c>
      <c r="F102" s="17"/>
      <c r="G102" s="17"/>
      <c r="H102" s="17"/>
      <c r="I102" s="17"/>
      <c r="J102" s="17"/>
      <c r="K102" s="17"/>
      <c r="L102" s="17"/>
      <c r="M102" s="17"/>
      <c r="N102" s="17"/>
      <c r="O102" s="17"/>
      <c r="P102" s="17"/>
      <c r="Q102" s="17"/>
      <c r="R102" s="17"/>
      <c r="S102" s="17"/>
      <c r="T102" s="17"/>
      <c r="U102" s="17"/>
      <c r="V102" s="17"/>
      <c r="W102" s="17"/>
      <c r="X102" s="17"/>
      <c r="Y102" s="17"/>
      <c r="Z102" s="17"/>
    </row>
    <row r="103" spans="1:26" ht="13">
      <c r="A103" s="58"/>
      <c r="B103" s="17"/>
      <c r="C103" s="17"/>
      <c r="D103" s="17"/>
      <c r="E103" s="55" t="str">
        <f ca="1">IFERROR(__xludf.DUMMYFUNCTION("""COMPUTED_VALUE"""),"Shipper.id")</f>
        <v>Shipper.id</v>
      </c>
      <c r="F103" s="17"/>
      <c r="G103" s="17"/>
      <c r="H103" s="17"/>
      <c r="I103" s="17"/>
      <c r="J103" s="17"/>
      <c r="K103" s="17"/>
      <c r="L103" s="17"/>
      <c r="M103" s="17"/>
      <c r="N103" s="17"/>
      <c r="O103" s="17"/>
      <c r="P103" s="17"/>
      <c r="Q103" s="17"/>
      <c r="R103" s="17"/>
      <c r="S103" s="17"/>
      <c r="T103" s="17"/>
      <c r="U103" s="17"/>
      <c r="V103" s="17"/>
      <c r="W103" s="17"/>
      <c r="X103" s="17"/>
      <c r="Y103" s="17"/>
      <c r="Z103" s="17"/>
    </row>
    <row r="104" spans="1:26" ht="13">
      <c r="A104" s="58"/>
      <c r="B104" s="17"/>
      <c r="C104" s="17"/>
      <c r="D104" s="17"/>
      <c r="E104" s="17" t="str">
        <f ca="1">IFERROR(__xludf.DUMMYFUNCTION("""COMPUTED_VALUE"""),"Vaynersin Pte Ltd")</f>
        <v>Vaynersin Pte Ltd</v>
      </c>
      <c r="F104" s="17"/>
      <c r="G104" s="17"/>
      <c r="H104" s="17"/>
      <c r="I104" s="17"/>
      <c r="J104" s="17"/>
      <c r="K104" s="17"/>
      <c r="L104" s="17"/>
      <c r="M104" s="17"/>
      <c r="N104" s="17"/>
      <c r="O104" s="17"/>
      <c r="P104" s="17"/>
      <c r="Q104" s="17"/>
      <c r="R104" s="17"/>
      <c r="S104" s="17"/>
      <c r="T104" s="17"/>
      <c r="U104" s="17"/>
      <c r="V104" s="17"/>
      <c r="W104" s="17"/>
      <c r="X104" s="17"/>
      <c r="Y104" s="17"/>
      <c r="Z104" s="17"/>
    </row>
    <row r="105" spans="1:26" ht="13">
      <c r="A105" s="58"/>
      <c r="B105" s="17"/>
      <c r="C105" s="17"/>
      <c r="D105" s="17"/>
      <c r="E105" s="17" t="str">
        <f ca="1">IFERROR(__xludf.DUMMYFUNCTION("""COMPUTED_VALUE"""),"Shopline M Sdn. Bhd")</f>
        <v>Shopline M Sdn. Bhd</v>
      </c>
      <c r="F105" s="17"/>
      <c r="G105" s="17"/>
      <c r="H105" s="17"/>
      <c r="I105" s="17"/>
      <c r="J105" s="17"/>
      <c r="K105" s="17"/>
      <c r="L105" s="17"/>
      <c r="M105" s="17"/>
      <c r="N105" s="17"/>
      <c r="O105" s="17"/>
      <c r="P105" s="17"/>
      <c r="Q105" s="17"/>
      <c r="R105" s="17"/>
      <c r="S105" s="17"/>
      <c r="T105" s="17"/>
      <c r="U105" s="17"/>
      <c r="V105" s="17"/>
      <c r="W105" s="17"/>
      <c r="X105" s="17"/>
      <c r="Y105" s="17"/>
      <c r="Z105" s="17"/>
    </row>
    <row r="106" spans="1:26" ht="13">
      <c r="A106" s="58"/>
      <c r="B106" s="17"/>
      <c r="C106" s="17"/>
      <c r="D106" s="17"/>
      <c r="E106" s="17" t="str">
        <f ca="1">IFERROR(__xludf.DUMMYFUNCTION("""COMPUTED_VALUE"""),"Maritime Technologies (R&amp;D) Pte Ltd
 www.shipsfocus.com")</f>
        <v>Maritime Technologies (R&amp;D) Pte Ltd
 www.shipsfocus.com</v>
      </c>
      <c r="F106" s="17"/>
      <c r="G106" s="17"/>
      <c r="H106" s="17"/>
      <c r="I106" s="17"/>
      <c r="J106" s="17"/>
      <c r="K106" s="17"/>
      <c r="L106" s="17"/>
      <c r="M106" s="17"/>
      <c r="N106" s="17"/>
      <c r="O106" s="17"/>
      <c r="P106" s="17"/>
      <c r="Q106" s="17"/>
      <c r="R106" s="17"/>
      <c r="S106" s="17"/>
      <c r="T106" s="17"/>
      <c r="U106" s="17"/>
      <c r="V106" s="17"/>
      <c r="W106" s="17"/>
      <c r="X106" s="17"/>
      <c r="Y106" s="17"/>
      <c r="Z106" s="17"/>
    </row>
    <row r="107" spans="1:26" ht="13">
      <c r="A107" s="58"/>
      <c r="B107" s="17"/>
      <c r="C107" s="17"/>
      <c r="D107" s="17"/>
      <c r="E107" s="17" t="str">
        <f ca="1">IFERROR(__xludf.DUMMYFUNCTION("""COMPUTED_VALUE"""),"ALS (Singapore) Pte Ltd")</f>
        <v>ALS (Singapore) Pte Ltd</v>
      </c>
      <c r="F107" s="17"/>
      <c r="G107" s="17"/>
      <c r="H107" s="17"/>
      <c r="I107" s="17"/>
      <c r="J107" s="17"/>
      <c r="K107" s="17"/>
      <c r="L107" s="17"/>
      <c r="M107" s="17"/>
      <c r="N107" s="17"/>
      <c r="O107" s="17"/>
      <c r="P107" s="17"/>
      <c r="Q107" s="17"/>
      <c r="R107" s="17"/>
      <c r="S107" s="17"/>
      <c r="T107" s="17"/>
      <c r="U107" s="17"/>
      <c r="V107" s="17"/>
      <c r="W107" s="17"/>
      <c r="X107" s="17"/>
      <c r="Y107" s="17"/>
      <c r="Z107" s="17"/>
    </row>
    <row r="108" spans="1:26" ht="13">
      <c r="A108" s="58"/>
      <c r="B108" s="17"/>
      <c r="C108" s="17"/>
      <c r="D108" s="17"/>
      <c r="E108" s="17" t="str">
        <f ca="1">IFERROR(__xludf.DUMMYFUNCTION("""COMPUTED_VALUE"""),"Janio Asia")</f>
        <v>Janio Asia</v>
      </c>
      <c r="F108" s="17"/>
      <c r="G108" s="17"/>
      <c r="H108" s="17"/>
      <c r="I108" s="17"/>
      <c r="J108" s="17"/>
      <c r="K108" s="17"/>
      <c r="L108" s="17"/>
      <c r="M108" s="17"/>
      <c r="N108" s="17"/>
      <c r="O108" s="17"/>
      <c r="P108" s="17"/>
      <c r="Q108" s="17"/>
      <c r="R108" s="17"/>
      <c r="S108" s="17"/>
      <c r="T108" s="17"/>
      <c r="U108" s="17"/>
      <c r="V108" s="17"/>
      <c r="W108" s="17"/>
      <c r="X108" s="17"/>
      <c r="Y108" s="17"/>
      <c r="Z108" s="17"/>
    </row>
    <row r="109" spans="1:26" ht="13">
      <c r="A109" s="58"/>
      <c r="B109" s="17"/>
      <c r="C109" s="17"/>
      <c r="D109" s="17"/>
      <c r="E109" s="17" t="str">
        <f ca="1">IFERROR(__xludf.DUMMYFUNCTION("""COMPUTED_VALUE"""),"Piktochart")</f>
        <v>Piktochart</v>
      </c>
      <c r="F109" s="17"/>
      <c r="G109" s="17"/>
      <c r="H109" s="17"/>
      <c r="I109" s="17"/>
      <c r="J109" s="17"/>
      <c r="K109" s="17"/>
      <c r="L109" s="17"/>
      <c r="M109" s="17"/>
      <c r="N109" s="17"/>
      <c r="O109" s="17"/>
      <c r="P109" s="17"/>
      <c r="Q109" s="17"/>
      <c r="R109" s="17"/>
      <c r="S109" s="17"/>
      <c r="T109" s="17"/>
      <c r="U109" s="17"/>
      <c r="V109" s="17"/>
      <c r="W109" s="17"/>
      <c r="X109" s="17"/>
      <c r="Y109" s="17"/>
      <c r="Z109" s="17"/>
    </row>
    <row r="110" spans="1:26" ht="13">
      <c r="A110" s="58"/>
      <c r="B110" s="17"/>
      <c r="C110" s="17"/>
      <c r="D110" s="17"/>
      <c r="E110" s="17" t="str">
        <f ca="1">IFERROR(__xludf.DUMMYFUNCTION("""COMPUTED_VALUE"""),"Odyssean")</f>
        <v>Odyssean</v>
      </c>
      <c r="F110" s="17"/>
      <c r="G110" s="17"/>
      <c r="H110" s="17"/>
      <c r="I110" s="17"/>
      <c r="J110" s="17"/>
      <c r="K110" s="17"/>
      <c r="L110" s="17"/>
      <c r="M110" s="17"/>
      <c r="N110" s="17"/>
      <c r="O110" s="17"/>
      <c r="P110" s="17"/>
      <c r="Q110" s="17"/>
      <c r="R110" s="17"/>
      <c r="S110" s="17"/>
      <c r="T110" s="17"/>
      <c r="U110" s="17"/>
      <c r="V110" s="17"/>
      <c r="W110" s="17"/>
      <c r="X110" s="17"/>
      <c r="Y110" s="17"/>
      <c r="Z110" s="17"/>
    </row>
    <row r="111" spans="1:26" ht="13">
      <c r="A111" s="58"/>
      <c r="B111" s="17"/>
      <c r="C111" s="17"/>
      <c r="D111" s="17"/>
      <c r="E111" s="17" t="str">
        <f ca="1">IFERROR(__xludf.DUMMYFUNCTION("""COMPUTED_VALUE"""),"Pandora Production Thailand")</f>
        <v>Pandora Production Thailand</v>
      </c>
      <c r="F111" s="17"/>
      <c r="G111" s="17"/>
      <c r="H111" s="17"/>
      <c r="I111" s="17"/>
      <c r="J111" s="17"/>
      <c r="K111" s="17"/>
      <c r="L111" s="17"/>
      <c r="M111" s="17"/>
      <c r="N111" s="17"/>
      <c r="O111" s="17"/>
      <c r="P111" s="17"/>
      <c r="Q111" s="17"/>
      <c r="R111" s="17"/>
      <c r="S111" s="17"/>
      <c r="T111" s="17"/>
      <c r="U111" s="17"/>
      <c r="V111" s="17"/>
      <c r="W111" s="17"/>
      <c r="X111" s="17"/>
      <c r="Y111" s="17"/>
      <c r="Z111" s="17"/>
    </row>
    <row r="112" spans="1:26" ht="13">
      <c r="A112" s="58"/>
      <c r="B112" s="17"/>
      <c r="C112" s="17"/>
      <c r="D112" s="17"/>
      <c r="E112" s="17" t="str">
        <f ca="1">IFERROR(__xludf.DUMMYFUNCTION("""COMPUTED_VALUE"""),"Andafin")</f>
        <v>Andafin</v>
      </c>
      <c r="F112" s="17"/>
      <c r="G112" s="17"/>
      <c r="H112" s="17"/>
      <c r="I112" s="17"/>
      <c r="J112" s="17"/>
      <c r="K112" s="17"/>
      <c r="L112" s="17"/>
      <c r="M112" s="17"/>
      <c r="N112" s="17"/>
      <c r="O112" s="17"/>
      <c r="P112" s="17"/>
      <c r="Q112" s="17"/>
      <c r="R112" s="17"/>
      <c r="S112" s="17"/>
      <c r="T112" s="17"/>
      <c r="U112" s="17"/>
      <c r="V112" s="17"/>
      <c r="W112" s="17"/>
      <c r="X112" s="17"/>
      <c r="Y112" s="17"/>
      <c r="Z112" s="17"/>
    </row>
    <row r="113" spans="1:26" ht="13">
      <c r="A113" s="58"/>
      <c r="B113" s="17"/>
      <c r="C113" s="17"/>
      <c r="D113" s="17"/>
      <c r="E113" s="17" t="str">
        <f ca="1">IFERROR(__xludf.DUMMYFUNCTION("""COMPUTED_VALUE"""),"Dragon Allies")</f>
        <v>Dragon Allies</v>
      </c>
      <c r="F113" s="17"/>
      <c r="G113" s="17"/>
      <c r="H113" s="17"/>
      <c r="I113" s="17"/>
      <c r="J113" s="17"/>
      <c r="K113" s="17"/>
      <c r="L113" s="17"/>
      <c r="M113" s="17"/>
      <c r="N113" s="17"/>
      <c r="O113" s="17"/>
      <c r="P113" s="17"/>
      <c r="Q113" s="17"/>
      <c r="R113" s="17"/>
      <c r="S113" s="17"/>
      <c r="T113" s="17"/>
      <c r="U113" s="17"/>
      <c r="V113" s="17"/>
      <c r="W113" s="17"/>
      <c r="X113" s="17"/>
      <c r="Y113" s="17"/>
      <c r="Z113" s="17"/>
    </row>
    <row r="114" spans="1:26" ht="13">
      <c r="A114" s="58"/>
      <c r="B114" s="17"/>
      <c r="C114" s="17"/>
      <c r="D114" s="17"/>
      <c r="E114" s="17" t="str">
        <f ca="1">IFERROR(__xludf.DUMMYFUNCTION("""COMPUTED_VALUE"""),"Lazada")</f>
        <v>Lazada</v>
      </c>
      <c r="F114" s="17"/>
      <c r="G114" s="17"/>
      <c r="H114" s="17"/>
      <c r="I114" s="17"/>
      <c r="J114" s="17"/>
      <c r="K114" s="17"/>
      <c r="L114" s="17"/>
      <c r="M114" s="17"/>
      <c r="N114" s="17"/>
      <c r="O114" s="17"/>
      <c r="P114" s="17"/>
      <c r="Q114" s="17"/>
      <c r="R114" s="17"/>
      <c r="S114" s="17"/>
      <c r="T114" s="17"/>
      <c r="U114" s="17"/>
      <c r="V114" s="17"/>
      <c r="W114" s="17"/>
      <c r="X114" s="17"/>
      <c r="Y114" s="17"/>
      <c r="Z114" s="17"/>
    </row>
    <row r="115" spans="1:26" ht="13">
      <c r="A115" s="58"/>
      <c r="B115" s="17"/>
      <c r="C115" s="17"/>
      <c r="D115" s="17"/>
      <c r="E115" s="17" t="str">
        <f ca="1">IFERROR(__xludf.DUMMYFUNCTION("""COMPUTED_VALUE"""),"Ayopop")</f>
        <v>Ayopop</v>
      </c>
      <c r="F115" s="17"/>
      <c r="G115" s="17"/>
      <c r="H115" s="17"/>
      <c r="I115" s="17"/>
      <c r="J115" s="17"/>
      <c r="K115" s="17"/>
      <c r="L115" s="17"/>
      <c r="M115" s="17"/>
      <c r="N115" s="17"/>
      <c r="O115" s="17"/>
      <c r="P115" s="17"/>
      <c r="Q115" s="17"/>
      <c r="R115" s="17"/>
      <c r="S115" s="17"/>
      <c r="T115" s="17"/>
      <c r="U115" s="17"/>
      <c r="V115" s="17"/>
      <c r="W115" s="17"/>
      <c r="X115" s="17"/>
      <c r="Y115" s="17"/>
      <c r="Z115" s="17"/>
    </row>
    <row r="116" spans="1:26" ht="13">
      <c r="A116" s="58"/>
      <c r="B116" s="17"/>
      <c r="C116" s="17"/>
      <c r="D116" s="17"/>
      <c r="E116" s="17" t="str">
        <f ca="1">IFERROR(__xludf.DUMMYFUNCTION("""COMPUTED_VALUE"""),"Lemonilo")</f>
        <v>Lemonilo</v>
      </c>
      <c r="F116" s="17"/>
      <c r="G116" s="17"/>
      <c r="H116" s="17"/>
      <c r="I116" s="17"/>
      <c r="J116" s="17"/>
      <c r="K116" s="17"/>
      <c r="L116" s="17"/>
      <c r="M116" s="17"/>
      <c r="N116" s="17"/>
      <c r="O116" s="17"/>
      <c r="P116" s="17"/>
      <c r="Q116" s="17"/>
      <c r="R116" s="17"/>
      <c r="S116" s="17"/>
      <c r="T116" s="17"/>
      <c r="U116" s="17"/>
      <c r="V116" s="17"/>
      <c r="W116" s="17"/>
      <c r="X116" s="17"/>
      <c r="Y116" s="17"/>
      <c r="Z116" s="17"/>
    </row>
    <row r="117" spans="1:26" ht="13">
      <c r="A117" s="58"/>
      <c r="B117" s="17"/>
      <c r="C117" s="17"/>
      <c r="D117" s="17"/>
      <c r="E117" s="55" t="str">
        <f ca="1">IFERROR(__xludf.DUMMYFUNCTION("""COMPUTED_VALUE"""),"Telunjuk.com")</f>
        <v>Telunjuk.com</v>
      </c>
      <c r="F117" s="17"/>
      <c r="G117" s="17"/>
      <c r="H117" s="17"/>
      <c r="I117" s="17"/>
      <c r="J117" s="17"/>
      <c r="K117" s="17"/>
      <c r="L117" s="17"/>
      <c r="M117" s="17"/>
      <c r="N117" s="17"/>
      <c r="O117" s="17"/>
      <c r="P117" s="17"/>
      <c r="Q117" s="17"/>
      <c r="R117" s="17"/>
      <c r="S117" s="17"/>
      <c r="T117" s="17"/>
      <c r="U117" s="17"/>
      <c r="V117" s="17"/>
      <c r="W117" s="17"/>
      <c r="X117" s="17"/>
      <c r="Y117" s="17"/>
      <c r="Z117" s="17"/>
    </row>
    <row r="118" spans="1:26" ht="13">
      <c r="A118" s="58"/>
      <c r="B118" s="17"/>
      <c r="C118" s="17"/>
      <c r="D118" s="17"/>
      <c r="E118" s="17" t="str">
        <f ca="1">IFERROR(__xludf.DUMMYFUNCTION("""COMPUTED_VALUE"""),"Percept Solutions Pte. Ltd")</f>
        <v>Percept Solutions Pte. Ltd</v>
      </c>
      <c r="F118" s="17"/>
      <c r="G118" s="17"/>
      <c r="H118" s="17"/>
      <c r="I118" s="17"/>
      <c r="J118" s="17"/>
      <c r="K118" s="17"/>
      <c r="L118" s="17"/>
      <c r="M118" s="17"/>
      <c r="N118" s="17"/>
      <c r="O118" s="17"/>
      <c r="P118" s="17"/>
      <c r="Q118" s="17"/>
      <c r="R118" s="17"/>
      <c r="S118" s="17"/>
      <c r="T118" s="17"/>
      <c r="U118" s="17"/>
      <c r="V118" s="17"/>
      <c r="W118" s="17"/>
      <c r="X118" s="17"/>
      <c r="Y118" s="17"/>
      <c r="Z118" s="17"/>
    </row>
    <row r="119" spans="1:26" ht="13">
      <c r="A119" s="58"/>
      <c r="B119" s="17"/>
      <c r="C119" s="17"/>
      <c r="D119" s="17"/>
      <c r="E119" s="17" t="str">
        <f ca="1">IFERROR(__xludf.DUMMYFUNCTION("""COMPUTED_VALUE"""),"Tripadvisor")</f>
        <v>Tripadvisor</v>
      </c>
      <c r="F119" s="17"/>
      <c r="G119" s="17"/>
      <c r="H119" s="17"/>
      <c r="I119" s="17"/>
      <c r="J119" s="17"/>
      <c r="K119" s="17"/>
      <c r="L119" s="17"/>
      <c r="M119" s="17"/>
      <c r="N119" s="17"/>
      <c r="O119" s="17"/>
      <c r="P119" s="17"/>
      <c r="Q119" s="17"/>
      <c r="R119" s="17"/>
      <c r="S119" s="17"/>
      <c r="T119" s="17"/>
      <c r="U119" s="17"/>
      <c r="V119" s="17"/>
      <c r="W119" s="17"/>
      <c r="X119" s="17"/>
      <c r="Y119" s="17"/>
      <c r="Z119" s="17"/>
    </row>
    <row r="120" spans="1:26" ht="13">
      <c r="A120" s="58"/>
      <c r="B120" s="17"/>
      <c r="C120" s="17"/>
      <c r="D120" s="17"/>
      <c r="E120" s="17" t="str">
        <f ca="1">IFERROR(__xludf.DUMMYFUNCTION("""COMPUTED_VALUE"""),"Lend East Pte.Ltd")</f>
        <v>Lend East Pte.Ltd</v>
      </c>
      <c r="F120" s="17"/>
      <c r="G120" s="17"/>
      <c r="H120" s="17"/>
      <c r="I120" s="17"/>
      <c r="J120" s="17"/>
      <c r="K120" s="17"/>
      <c r="L120" s="17"/>
      <c r="M120" s="17"/>
      <c r="N120" s="17"/>
      <c r="O120" s="17"/>
      <c r="P120" s="17"/>
      <c r="Q120" s="17"/>
      <c r="R120" s="17"/>
      <c r="S120" s="17"/>
      <c r="T120" s="17"/>
      <c r="U120" s="17"/>
      <c r="V120" s="17"/>
      <c r="W120" s="17"/>
      <c r="X120" s="17"/>
      <c r="Y120" s="17"/>
      <c r="Z120" s="17"/>
    </row>
    <row r="121" spans="1:26" ht="13">
      <c r="A121" s="58"/>
      <c r="B121" s="17"/>
      <c r="C121" s="17"/>
      <c r="D121" s="17"/>
      <c r="E121" s="17" t="str">
        <f ca="1">IFERROR(__xludf.DUMMYFUNCTION("""COMPUTED_VALUE"""),"Velotrade Management Limited")</f>
        <v>Velotrade Management Limited</v>
      </c>
      <c r="F121" s="17"/>
      <c r="G121" s="17"/>
      <c r="H121" s="17"/>
      <c r="I121" s="17"/>
      <c r="J121" s="17"/>
      <c r="K121" s="17"/>
      <c r="L121" s="17"/>
      <c r="M121" s="17"/>
      <c r="N121" s="17"/>
      <c r="O121" s="17"/>
      <c r="P121" s="17"/>
      <c r="Q121" s="17"/>
      <c r="R121" s="17"/>
      <c r="S121" s="17"/>
      <c r="T121" s="17"/>
      <c r="U121" s="17"/>
      <c r="V121" s="17"/>
      <c r="W121" s="17"/>
      <c r="X121" s="17"/>
      <c r="Y121" s="17"/>
      <c r="Z121" s="17"/>
    </row>
    <row r="122" spans="1:26" ht="13">
      <c r="A122" s="58"/>
      <c r="B122" s="17"/>
      <c r="C122" s="17"/>
      <c r="D122" s="17"/>
      <c r="E122" s="17" t="str">
        <f ca="1">IFERROR(__xludf.DUMMYFUNCTION("""COMPUTED_VALUE"""),"Carer")</f>
        <v>Carer</v>
      </c>
      <c r="F122" s="17"/>
      <c r="G122" s="17"/>
      <c r="H122" s="17"/>
      <c r="I122" s="17"/>
      <c r="J122" s="17"/>
      <c r="K122" s="17"/>
      <c r="L122" s="17"/>
      <c r="M122" s="17"/>
      <c r="N122" s="17"/>
      <c r="O122" s="17"/>
      <c r="P122" s="17"/>
      <c r="Q122" s="17"/>
      <c r="R122" s="17"/>
      <c r="S122" s="17"/>
      <c r="T122" s="17"/>
      <c r="U122" s="17"/>
      <c r="V122" s="17"/>
      <c r="W122" s="17"/>
      <c r="X122" s="17"/>
      <c r="Y122" s="17"/>
      <c r="Z122" s="17"/>
    </row>
    <row r="123" spans="1:26" ht="13">
      <c r="A123" s="58"/>
      <c r="B123" s="17"/>
      <c r="C123" s="17"/>
      <c r="D123" s="17"/>
      <c r="E123" s="17" t="str">
        <f ca="1">IFERROR(__xludf.DUMMYFUNCTION("""COMPUTED_VALUE"""),"cashmakrs")</f>
        <v>cashmakrs</v>
      </c>
      <c r="F123" s="17"/>
      <c r="G123" s="17"/>
      <c r="H123" s="17"/>
      <c r="I123" s="17"/>
      <c r="J123" s="17"/>
      <c r="K123" s="17"/>
      <c r="L123" s="17"/>
      <c r="M123" s="17"/>
      <c r="N123" s="17"/>
      <c r="O123" s="17"/>
      <c r="P123" s="17"/>
      <c r="Q123" s="17"/>
      <c r="R123" s="17"/>
      <c r="S123" s="17"/>
      <c r="T123" s="17"/>
      <c r="U123" s="17"/>
      <c r="V123" s="17"/>
      <c r="W123" s="17"/>
      <c r="X123" s="17"/>
      <c r="Y123" s="17"/>
      <c r="Z123" s="17"/>
    </row>
    <row r="124" spans="1:26" ht="13">
      <c r="A124" s="58"/>
      <c r="B124" s="17"/>
      <c r="C124" s="17"/>
      <c r="D124" s="17"/>
      <c r="E124" s="17" t="str">
        <f ca="1">IFERROR(__xludf.DUMMYFUNCTION("""COMPUTED_VALUE"""),"AlphaLab Capital")</f>
        <v>AlphaLab Capital</v>
      </c>
      <c r="F124" s="17"/>
      <c r="G124" s="17"/>
      <c r="H124" s="17"/>
      <c r="I124" s="17"/>
      <c r="J124" s="17"/>
      <c r="K124" s="17"/>
      <c r="L124" s="17"/>
      <c r="M124" s="17"/>
      <c r="N124" s="17"/>
      <c r="O124" s="17"/>
      <c r="P124" s="17"/>
      <c r="Q124" s="17"/>
      <c r="R124" s="17"/>
      <c r="S124" s="17"/>
      <c r="T124" s="17"/>
      <c r="U124" s="17"/>
      <c r="V124" s="17"/>
      <c r="W124" s="17"/>
      <c r="X124" s="17"/>
      <c r="Y124" s="17"/>
      <c r="Z124" s="17"/>
    </row>
    <row r="125" spans="1:26" ht="13">
      <c r="A125" s="58"/>
      <c r="B125" s="17"/>
      <c r="C125" s="17"/>
      <c r="D125" s="17"/>
      <c r="E125" s="17" t="str">
        <f ca="1">IFERROR(__xludf.DUMMYFUNCTION("""COMPUTED_VALUE"""),"iMotorbike")</f>
        <v>iMotorbike</v>
      </c>
      <c r="F125" s="17"/>
      <c r="G125" s="17"/>
      <c r="H125" s="17"/>
      <c r="I125" s="17"/>
      <c r="J125" s="17"/>
      <c r="K125" s="17"/>
      <c r="L125" s="17"/>
      <c r="M125" s="17"/>
      <c r="N125" s="17"/>
      <c r="O125" s="17"/>
      <c r="P125" s="17"/>
      <c r="Q125" s="17"/>
      <c r="R125" s="17"/>
      <c r="S125" s="17"/>
      <c r="T125" s="17"/>
      <c r="U125" s="17"/>
      <c r="V125" s="17"/>
      <c r="W125" s="17"/>
      <c r="X125" s="17"/>
      <c r="Y125" s="17"/>
      <c r="Z125" s="17"/>
    </row>
    <row r="126" spans="1:26" ht="13">
      <c r="A126" s="58"/>
      <c r="B126" s="17"/>
      <c r="C126" s="17"/>
      <c r="D126" s="17"/>
      <c r="E126" s="17" t="str">
        <f ca="1">IFERROR(__xludf.DUMMYFUNCTION("""COMPUTED_VALUE"""),"Analytrix")</f>
        <v>Analytrix</v>
      </c>
      <c r="F126" s="17"/>
      <c r="G126" s="17"/>
      <c r="H126" s="17"/>
      <c r="I126" s="17"/>
      <c r="J126" s="17"/>
      <c r="K126" s="17"/>
      <c r="L126" s="17"/>
      <c r="M126" s="17"/>
      <c r="N126" s="17"/>
      <c r="O126" s="17"/>
      <c r="P126" s="17"/>
      <c r="Q126" s="17"/>
      <c r="R126" s="17"/>
      <c r="S126" s="17"/>
      <c r="T126" s="17"/>
      <c r="U126" s="17"/>
      <c r="V126" s="17"/>
      <c r="W126" s="17"/>
      <c r="X126" s="17"/>
      <c r="Y126" s="17"/>
      <c r="Z126" s="17"/>
    </row>
    <row r="127" spans="1:26" ht="13">
      <c r="A127" s="58"/>
      <c r="B127" s="17"/>
      <c r="C127" s="17"/>
      <c r="D127" s="17"/>
      <c r="E127" s="17" t="str">
        <f ca="1">IFERROR(__xludf.DUMMYFUNCTION("""COMPUTED_VALUE"""),"Triple 2 Studio")</f>
        <v>Triple 2 Studio</v>
      </c>
      <c r="F127" s="17"/>
      <c r="G127" s="17"/>
      <c r="H127" s="17"/>
      <c r="I127" s="17"/>
      <c r="J127" s="17"/>
      <c r="K127" s="17"/>
      <c r="L127" s="17"/>
      <c r="M127" s="17"/>
      <c r="N127" s="17"/>
      <c r="O127" s="17"/>
      <c r="P127" s="17"/>
      <c r="Q127" s="17"/>
      <c r="R127" s="17"/>
      <c r="S127" s="17"/>
      <c r="T127" s="17"/>
      <c r="U127" s="17"/>
      <c r="V127" s="17"/>
      <c r="W127" s="17"/>
      <c r="X127" s="17"/>
      <c r="Y127" s="17"/>
      <c r="Z127" s="17"/>
    </row>
    <row r="128" spans="1:26" ht="13">
      <c r="A128" s="58"/>
      <c r="B128" s="17"/>
      <c r="C128" s="17"/>
      <c r="D128" s="17"/>
      <c r="E128" s="17" t="str">
        <f ca="1">IFERROR(__xludf.DUMMYFUNCTION("""COMPUTED_VALUE"""),"Hook Coffee")</f>
        <v>Hook Coffee</v>
      </c>
      <c r="F128" s="17"/>
      <c r="G128" s="17"/>
      <c r="H128" s="17"/>
      <c r="I128" s="17"/>
      <c r="J128" s="17"/>
      <c r="K128" s="17"/>
      <c r="L128" s="17"/>
      <c r="M128" s="17"/>
      <c r="N128" s="17"/>
      <c r="O128" s="17"/>
      <c r="P128" s="17"/>
      <c r="Q128" s="17"/>
      <c r="R128" s="17"/>
      <c r="S128" s="17"/>
      <c r="T128" s="17"/>
      <c r="U128" s="17"/>
      <c r="V128" s="17"/>
      <c r="W128" s="17"/>
      <c r="X128" s="17"/>
      <c r="Y128" s="17"/>
      <c r="Z128" s="17"/>
    </row>
    <row r="129" spans="1:26" ht="13">
      <c r="A129" s="58"/>
      <c r="B129" s="17"/>
      <c r="C129" s="17"/>
      <c r="D129" s="17"/>
      <c r="E129" s="17" t="str">
        <f ca="1">IFERROR(__xludf.DUMMYFUNCTION("""COMPUTED_VALUE"""),"Kredens Capital")</f>
        <v>Kredens Capital</v>
      </c>
      <c r="F129" s="17"/>
      <c r="G129" s="17"/>
      <c r="H129" s="17"/>
      <c r="I129" s="17"/>
      <c r="J129" s="17"/>
      <c r="K129" s="17"/>
      <c r="L129" s="17"/>
      <c r="M129" s="17"/>
      <c r="N129" s="17"/>
      <c r="O129" s="17"/>
      <c r="P129" s="17"/>
      <c r="Q129" s="17"/>
      <c r="R129" s="17"/>
      <c r="S129" s="17"/>
      <c r="T129" s="17"/>
      <c r="U129" s="17"/>
      <c r="V129" s="17"/>
      <c r="W129" s="17"/>
      <c r="X129" s="17"/>
      <c r="Y129" s="17"/>
      <c r="Z129" s="17"/>
    </row>
    <row r="130" spans="1:26" ht="13">
      <c r="A130" s="58"/>
      <c r="B130" s="17"/>
      <c r="C130" s="17"/>
      <c r="D130" s="17"/>
      <c r="E130" s="17" t="str">
        <f ca="1">IFERROR(__xludf.DUMMYFUNCTION("""COMPUTED_VALUE"""),"PHP Engineering")</f>
        <v>PHP Engineering</v>
      </c>
      <c r="F130" s="17"/>
      <c r="G130" s="17"/>
      <c r="H130" s="17"/>
      <c r="I130" s="17"/>
      <c r="J130" s="17"/>
      <c r="K130" s="17"/>
      <c r="L130" s="17"/>
      <c r="M130" s="17"/>
      <c r="N130" s="17"/>
      <c r="O130" s="17"/>
      <c r="P130" s="17"/>
      <c r="Q130" s="17"/>
      <c r="R130" s="17"/>
      <c r="S130" s="17"/>
      <c r="T130" s="17"/>
      <c r="U130" s="17"/>
      <c r="V130" s="17"/>
      <c r="W130" s="17"/>
      <c r="X130" s="17"/>
      <c r="Y130" s="17"/>
      <c r="Z130" s="17"/>
    </row>
    <row r="131" spans="1:26" ht="13">
      <c r="A131" s="58"/>
      <c r="B131" s="17"/>
      <c r="C131" s="17"/>
      <c r="D131" s="17"/>
      <c r="E131" s="17" t="str">
        <f ca="1">IFERROR(__xludf.DUMMYFUNCTION("""COMPUTED_VALUE"""),"Jubilee Capital Management")</f>
        <v>Jubilee Capital Management</v>
      </c>
      <c r="F131" s="17"/>
      <c r="G131" s="17"/>
      <c r="H131" s="17"/>
      <c r="I131" s="17"/>
      <c r="J131" s="17"/>
      <c r="K131" s="17"/>
      <c r="L131" s="17"/>
      <c r="M131" s="17"/>
      <c r="N131" s="17"/>
      <c r="O131" s="17"/>
      <c r="P131" s="17"/>
      <c r="Q131" s="17"/>
      <c r="R131" s="17"/>
      <c r="S131" s="17"/>
      <c r="T131" s="17"/>
      <c r="U131" s="17"/>
      <c r="V131" s="17"/>
      <c r="W131" s="17"/>
      <c r="X131" s="17"/>
      <c r="Y131" s="17"/>
      <c r="Z131" s="17"/>
    </row>
    <row r="132" spans="1:26" ht="13">
      <c r="A132" s="58"/>
      <c r="B132" s="17"/>
      <c r="C132" s="17"/>
      <c r="D132" s="17"/>
      <c r="E132" s="17" t="str">
        <f ca="1">IFERROR(__xludf.DUMMYFUNCTION("""COMPUTED_VALUE"""),"Amaris")</f>
        <v>Amaris</v>
      </c>
      <c r="F132" s="17"/>
      <c r="G132" s="17"/>
      <c r="H132" s="17"/>
      <c r="I132" s="17"/>
      <c r="J132" s="17"/>
      <c r="K132" s="17"/>
      <c r="L132" s="17"/>
      <c r="M132" s="17"/>
      <c r="N132" s="17"/>
      <c r="O132" s="17"/>
      <c r="P132" s="17"/>
      <c r="Q132" s="17"/>
      <c r="R132" s="17"/>
      <c r="S132" s="17"/>
      <c r="T132" s="17"/>
      <c r="U132" s="17"/>
      <c r="V132" s="17"/>
      <c r="W132" s="17"/>
      <c r="X132" s="17"/>
      <c r="Y132" s="17"/>
      <c r="Z132" s="17"/>
    </row>
    <row r="133" spans="1:26" ht="13">
      <c r="A133" s="58"/>
      <c r="B133" s="17"/>
      <c r="C133" s="17"/>
      <c r="D133" s="17"/>
      <c r="E133" s="17" t="str">
        <f ca="1">IFERROR(__xludf.DUMMYFUNCTION("""COMPUTED_VALUE"""),"PROTOCOL")</f>
        <v>PROTOCOL</v>
      </c>
      <c r="F133" s="17"/>
      <c r="G133" s="17"/>
      <c r="H133" s="17"/>
      <c r="I133" s="17"/>
      <c r="J133" s="17"/>
      <c r="K133" s="17"/>
      <c r="L133" s="17"/>
      <c r="M133" s="17"/>
      <c r="N133" s="17"/>
      <c r="O133" s="17"/>
      <c r="P133" s="17"/>
      <c r="Q133" s="17"/>
      <c r="R133" s="17"/>
      <c r="S133" s="17"/>
      <c r="T133" s="17"/>
      <c r="U133" s="17"/>
      <c r="V133" s="17"/>
      <c r="W133" s="17"/>
      <c r="X133" s="17"/>
      <c r="Y133" s="17"/>
      <c r="Z133" s="17"/>
    </row>
    <row r="134" spans="1:26" ht="13">
      <c r="A134" s="58"/>
      <c r="B134" s="17"/>
      <c r="C134" s="17"/>
      <c r="D134" s="17"/>
      <c r="E134" s="17" t="str">
        <f ca="1">IFERROR(__xludf.DUMMYFUNCTION("""COMPUTED_VALUE"""),"Giraffe Consulting Asia Pte Ltd")</f>
        <v>Giraffe Consulting Asia Pte Ltd</v>
      </c>
      <c r="F134" s="17"/>
      <c r="G134" s="17"/>
      <c r="H134" s="17"/>
      <c r="I134" s="17"/>
      <c r="J134" s="17"/>
      <c r="K134" s="17"/>
      <c r="L134" s="17"/>
      <c r="M134" s="17"/>
      <c r="N134" s="17"/>
      <c r="O134" s="17"/>
      <c r="P134" s="17"/>
      <c r="Q134" s="17"/>
      <c r="R134" s="17"/>
      <c r="S134" s="17"/>
      <c r="T134" s="17"/>
      <c r="U134" s="17"/>
      <c r="V134" s="17"/>
      <c r="W134" s="17"/>
      <c r="X134" s="17"/>
      <c r="Y134" s="17"/>
      <c r="Z134" s="17"/>
    </row>
    <row r="135" spans="1:26" ht="13">
      <c r="A135" s="58"/>
      <c r="B135" s="17"/>
      <c r="C135" s="17"/>
      <c r="D135" s="17"/>
      <c r="E135" s="17" t="str">
        <f ca="1">IFERROR(__xludf.DUMMYFUNCTION("""COMPUTED_VALUE"""),"Aspire Alliance Pte Ltd")</f>
        <v>Aspire Alliance Pte Ltd</v>
      </c>
      <c r="F135" s="17"/>
      <c r="G135" s="17"/>
      <c r="H135" s="17"/>
      <c r="I135" s="17"/>
      <c r="J135" s="17"/>
      <c r="K135" s="17"/>
      <c r="L135" s="17"/>
      <c r="M135" s="17"/>
      <c r="N135" s="17"/>
      <c r="O135" s="17"/>
      <c r="P135" s="17"/>
      <c r="Q135" s="17"/>
      <c r="R135" s="17"/>
      <c r="S135" s="17"/>
      <c r="T135" s="17"/>
      <c r="U135" s="17"/>
      <c r="V135" s="17"/>
      <c r="W135" s="17"/>
      <c r="X135" s="17"/>
      <c r="Y135" s="17"/>
      <c r="Z135" s="17"/>
    </row>
    <row r="136" spans="1:26" ht="13">
      <c r="A136" s="58"/>
      <c r="B136" s="17"/>
      <c r="C136" s="17"/>
      <c r="D136" s="17"/>
      <c r="E136" s="17" t="str">
        <f ca="1">IFERROR(__xludf.DUMMYFUNCTION("""COMPUTED_VALUE"""),"OpenMinds")</f>
        <v>OpenMinds</v>
      </c>
      <c r="F136" s="17"/>
      <c r="G136" s="17"/>
      <c r="H136" s="17"/>
      <c r="I136" s="17"/>
      <c r="J136" s="17"/>
      <c r="K136" s="17"/>
      <c r="L136" s="17"/>
      <c r="M136" s="17"/>
      <c r="N136" s="17"/>
      <c r="O136" s="17"/>
      <c r="P136" s="17"/>
      <c r="Q136" s="17"/>
      <c r="R136" s="17"/>
      <c r="S136" s="17"/>
      <c r="T136" s="17"/>
      <c r="U136" s="17"/>
      <c r="V136" s="17"/>
      <c r="W136" s="17"/>
      <c r="X136" s="17"/>
      <c r="Y136" s="17"/>
      <c r="Z136" s="17"/>
    </row>
    <row r="137" spans="1:26" ht="13">
      <c r="A137" s="58"/>
      <c r="B137" s="17"/>
      <c r="C137" s="17"/>
      <c r="D137" s="17"/>
      <c r="E137" s="17" t="str">
        <f ca="1">IFERROR(__xludf.DUMMYFUNCTION("""COMPUTED_VALUE"""),"Mutant Communications")</f>
        <v>Mutant Communications</v>
      </c>
      <c r="F137" s="17"/>
      <c r="G137" s="17"/>
      <c r="H137" s="17"/>
      <c r="I137" s="17"/>
      <c r="J137" s="17"/>
      <c r="K137" s="17"/>
      <c r="L137" s="17"/>
      <c r="M137" s="17"/>
      <c r="N137" s="17"/>
      <c r="O137" s="17"/>
      <c r="P137" s="17"/>
      <c r="Q137" s="17"/>
      <c r="R137" s="17"/>
      <c r="S137" s="17"/>
      <c r="T137" s="17"/>
      <c r="U137" s="17"/>
      <c r="V137" s="17"/>
      <c r="W137" s="17"/>
      <c r="X137" s="17"/>
      <c r="Y137" s="17"/>
      <c r="Z137" s="17"/>
    </row>
    <row r="138" spans="1:26" ht="13">
      <c r="A138" s="58"/>
      <c r="B138" s="17"/>
      <c r="C138" s="17"/>
      <c r="D138" s="17"/>
      <c r="E138" s="17" t="str">
        <f ca="1">IFERROR(__xludf.DUMMYFUNCTION("""COMPUTED_VALUE"""),"SKYMAGIC")</f>
        <v>SKYMAGIC</v>
      </c>
      <c r="F138" s="17"/>
      <c r="G138" s="17"/>
      <c r="H138" s="17"/>
      <c r="I138" s="17"/>
      <c r="J138" s="17"/>
      <c r="K138" s="17"/>
      <c r="L138" s="17"/>
      <c r="M138" s="17"/>
      <c r="N138" s="17"/>
      <c r="O138" s="17"/>
      <c r="P138" s="17"/>
      <c r="Q138" s="17"/>
      <c r="R138" s="17"/>
      <c r="S138" s="17"/>
      <c r="T138" s="17"/>
      <c r="U138" s="17"/>
      <c r="V138" s="17"/>
      <c r="W138" s="17"/>
      <c r="X138" s="17"/>
      <c r="Y138" s="17"/>
      <c r="Z138" s="17"/>
    </row>
    <row r="139" spans="1:26" ht="13">
      <c r="A139" s="58"/>
      <c r="B139" s="17"/>
      <c r="C139" s="17"/>
      <c r="D139" s="17"/>
      <c r="E139" s="17" t="str">
        <f ca="1">IFERROR(__xludf.DUMMYFUNCTION("""COMPUTED_VALUE"""),"Kydon Holdings Pte Ltd")</f>
        <v>Kydon Holdings Pte Ltd</v>
      </c>
      <c r="F139" s="17"/>
      <c r="G139" s="17"/>
      <c r="H139" s="17"/>
      <c r="I139" s="17"/>
      <c r="J139" s="17"/>
      <c r="K139" s="17"/>
      <c r="L139" s="17"/>
      <c r="M139" s="17"/>
      <c r="N139" s="17"/>
      <c r="O139" s="17"/>
      <c r="P139" s="17"/>
      <c r="Q139" s="17"/>
      <c r="R139" s="17"/>
      <c r="S139" s="17"/>
      <c r="T139" s="17"/>
      <c r="U139" s="17"/>
      <c r="V139" s="17"/>
      <c r="W139" s="17"/>
      <c r="X139" s="17"/>
      <c r="Y139" s="17"/>
      <c r="Z139" s="17"/>
    </row>
    <row r="140" spans="1:26" ht="13">
      <c r="A140" s="58"/>
      <c r="B140" s="17"/>
      <c r="C140" s="17"/>
      <c r="D140" s="17"/>
      <c r="E140" s="17" t="str">
        <f ca="1">IFERROR(__xludf.DUMMYFUNCTION("""COMPUTED_VALUE"""),"Groundcrew Pte Ltd")</f>
        <v>Groundcrew Pte Ltd</v>
      </c>
      <c r="F140" s="17"/>
      <c r="G140" s="17"/>
      <c r="H140" s="17"/>
      <c r="I140" s="17"/>
      <c r="J140" s="17"/>
      <c r="K140" s="17"/>
      <c r="L140" s="17"/>
      <c r="M140" s="17"/>
      <c r="N140" s="17"/>
      <c r="O140" s="17"/>
      <c r="P140" s="17"/>
      <c r="Q140" s="17"/>
      <c r="R140" s="17"/>
      <c r="S140" s="17"/>
      <c r="T140" s="17"/>
      <c r="U140" s="17"/>
      <c r="V140" s="17"/>
      <c r="W140" s="17"/>
      <c r="X140" s="17"/>
      <c r="Y140" s="17"/>
      <c r="Z140" s="17"/>
    </row>
    <row r="141" spans="1:26" ht="13">
      <c r="A141" s="58"/>
      <c r="B141" s="17"/>
      <c r="C141" s="17"/>
      <c r="D141" s="17"/>
      <c r="E141" s="17" t="str">
        <f ca="1">IFERROR(__xludf.DUMMYFUNCTION("""COMPUTED_VALUE"""),"Gmedes Pte Ltd")</f>
        <v>Gmedes Pte Ltd</v>
      </c>
      <c r="F141" s="17"/>
      <c r="G141" s="17"/>
      <c r="H141" s="17"/>
      <c r="I141" s="17"/>
      <c r="J141" s="17"/>
      <c r="K141" s="17"/>
      <c r="L141" s="17"/>
      <c r="M141" s="17"/>
      <c r="N141" s="17"/>
      <c r="O141" s="17"/>
      <c r="P141" s="17"/>
      <c r="Q141" s="17"/>
      <c r="R141" s="17"/>
      <c r="S141" s="17"/>
      <c r="T141" s="17"/>
      <c r="U141" s="17"/>
      <c r="V141" s="17"/>
      <c r="W141" s="17"/>
      <c r="X141" s="17"/>
      <c r="Y141" s="17"/>
      <c r="Z141" s="17"/>
    </row>
    <row r="142" spans="1:26" ht="13">
      <c r="A142" s="58"/>
      <c r="B142" s="17"/>
      <c r="C142" s="17"/>
      <c r="D142" s="17"/>
      <c r="E142" s="17" t="str">
        <f ca="1">IFERROR(__xludf.DUMMYFUNCTION("""COMPUTED_VALUE"""),"GoBear Singapore")</f>
        <v>GoBear Singapore</v>
      </c>
      <c r="F142" s="17"/>
      <c r="G142" s="17"/>
      <c r="H142" s="17"/>
      <c r="I142" s="17"/>
      <c r="J142" s="17"/>
      <c r="K142" s="17"/>
      <c r="L142" s="17"/>
      <c r="M142" s="17"/>
      <c r="N142" s="17"/>
      <c r="O142" s="17"/>
      <c r="P142" s="17"/>
      <c r="Q142" s="17"/>
      <c r="R142" s="17"/>
      <c r="S142" s="17"/>
      <c r="T142" s="17"/>
      <c r="U142" s="17"/>
      <c r="V142" s="17"/>
      <c r="W142" s="17"/>
      <c r="X142" s="17"/>
      <c r="Y142" s="17"/>
      <c r="Z142" s="17"/>
    </row>
    <row r="143" spans="1:26" ht="13">
      <c r="A143" s="58"/>
      <c r="B143" s="17"/>
      <c r="C143" s="17"/>
      <c r="D143" s="17"/>
      <c r="E143" s="17" t="str">
        <f ca="1">IFERROR(__xludf.DUMMYFUNCTION("""COMPUTED_VALUE"""),"Secretlab")</f>
        <v>Secretlab</v>
      </c>
      <c r="F143" s="17"/>
      <c r="G143" s="17"/>
      <c r="H143" s="17"/>
      <c r="I143" s="17"/>
      <c r="J143" s="17"/>
      <c r="K143" s="17"/>
      <c r="L143" s="17"/>
      <c r="M143" s="17"/>
      <c r="N143" s="17"/>
      <c r="O143" s="17"/>
      <c r="P143" s="17"/>
      <c r="Q143" s="17"/>
      <c r="R143" s="17"/>
      <c r="S143" s="17"/>
      <c r="T143" s="17"/>
      <c r="U143" s="17"/>
      <c r="V143" s="17"/>
      <c r="W143" s="17"/>
      <c r="X143" s="17"/>
      <c r="Y143" s="17"/>
      <c r="Z143" s="17"/>
    </row>
    <row r="144" spans="1:26" ht="13">
      <c r="A144" s="58"/>
      <c r="B144" s="17"/>
      <c r="C144" s="17"/>
      <c r="D144" s="17"/>
      <c r="E144" s="17" t="str">
        <f ca="1">IFERROR(__xludf.DUMMYFUNCTION("""COMPUTED_VALUE"""),"BitTitan")</f>
        <v>BitTitan</v>
      </c>
      <c r="F144" s="17"/>
      <c r="G144" s="17"/>
      <c r="H144" s="17"/>
      <c r="I144" s="17"/>
      <c r="J144" s="17"/>
      <c r="K144" s="17"/>
      <c r="L144" s="17"/>
      <c r="M144" s="17"/>
      <c r="N144" s="17"/>
      <c r="O144" s="17"/>
      <c r="P144" s="17"/>
      <c r="Q144" s="17"/>
      <c r="R144" s="17"/>
      <c r="S144" s="17"/>
      <c r="T144" s="17"/>
      <c r="U144" s="17"/>
      <c r="V144" s="17"/>
      <c r="W144" s="17"/>
      <c r="X144" s="17"/>
      <c r="Y144" s="17"/>
      <c r="Z144" s="17"/>
    </row>
    <row r="145" spans="1:26" ht="13">
      <c r="A145" s="58"/>
      <c r="B145" s="17"/>
      <c r="C145" s="17"/>
      <c r="D145" s="17"/>
      <c r="E145" s="17" t="str">
        <f ca="1">IFERROR(__xludf.DUMMYFUNCTION("""COMPUTED_VALUE"""),"COVE")</f>
        <v>COVE</v>
      </c>
      <c r="F145" s="17"/>
      <c r="G145" s="17"/>
      <c r="H145" s="17"/>
      <c r="I145" s="17"/>
      <c r="J145" s="17"/>
      <c r="K145" s="17"/>
      <c r="L145" s="17"/>
      <c r="M145" s="17"/>
      <c r="N145" s="17"/>
      <c r="O145" s="17"/>
      <c r="P145" s="17"/>
      <c r="Q145" s="17"/>
      <c r="R145" s="17"/>
      <c r="S145" s="17"/>
      <c r="T145" s="17"/>
      <c r="U145" s="17"/>
      <c r="V145" s="17"/>
      <c r="W145" s="17"/>
      <c r="X145" s="17"/>
      <c r="Y145" s="17"/>
      <c r="Z145" s="17"/>
    </row>
    <row r="146" spans="1:26" ht="13">
      <c r="A146" s="58"/>
      <c r="B146" s="17"/>
      <c r="C146" s="17"/>
      <c r="D146" s="17"/>
      <c r="E146" s="17" t="str">
        <f ca="1">IFERROR(__xludf.DUMMYFUNCTION("""COMPUTED_VALUE"""),"Quadrant")</f>
        <v>Quadrant</v>
      </c>
      <c r="F146" s="17"/>
      <c r="G146" s="17"/>
      <c r="H146" s="17"/>
      <c r="I146" s="17"/>
      <c r="J146" s="17"/>
      <c r="K146" s="17"/>
      <c r="L146" s="17"/>
      <c r="M146" s="17"/>
      <c r="N146" s="17"/>
      <c r="O146" s="17"/>
      <c r="P146" s="17"/>
      <c r="Q146" s="17"/>
      <c r="R146" s="17"/>
      <c r="S146" s="17"/>
      <c r="T146" s="17"/>
      <c r="U146" s="17"/>
      <c r="V146" s="17"/>
      <c r="W146" s="17"/>
      <c r="X146" s="17"/>
      <c r="Y146" s="17"/>
      <c r="Z146" s="17"/>
    </row>
    <row r="147" spans="1:26" ht="13">
      <c r="A147" s="58"/>
      <c r="B147" s="17"/>
      <c r="C147" s="17"/>
      <c r="D147" s="17"/>
      <c r="E147" s="17" t="str">
        <f ca="1">IFERROR(__xludf.DUMMYFUNCTION("""COMPUTED_VALUE"""),"eWIDEPLUS")</f>
        <v>eWIDEPLUS</v>
      </c>
      <c r="F147" s="17"/>
      <c r="G147" s="17"/>
      <c r="H147" s="17"/>
      <c r="I147" s="17"/>
      <c r="J147" s="17"/>
      <c r="K147" s="17"/>
      <c r="L147" s="17"/>
      <c r="M147" s="17"/>
      <c r="N147" s="17"/>
      <c r="O147" s="17"/>
      <c r="P147" s="17"/>
      <c r="Q147" s="17"/>
      <c r="R147" s="17"/>
      <c r="S147" s="17"/>
      <c r="T147" s="17"/>
      <c r="U147" s="17"/>
      <c r="V147" s="17"/>
      <c r="W147" s="17"/>
      <c r="X147" s="17"/>
      <c r="Y147" s="17"/>
      <c r="Z147" s="17"/>
    </row>
    <row r="148" spans="1:26" ht="13">
      <c r="A148" s="58"/>
      <c r="B148" s="17"/>
      <c r="C148" s="17"/>
      <c r="D148" s="17"/>
      <c r="E148" s="17" t="str">
        <f ca="1">IFERROR(__xludf.DUMMYFUNCTION("""COMPUTED_VALUE"""),"Bybit")</f>
        <v>Bybit</v>
      </c>
      <c r="F148" s="17"/>
      <c r="G148" s="17"/>
      <c r="H148" s="17"/>
      <c r="I148" s="17"/>
      <c r="J148" s="17"/>
      <c r="K148" s="17"/>
      <c r="L148" s="17"/>
      <c r="M148" s="17"/>
      <c r="N148" s="17"/>
      <c r="O148" s="17"/>
      <c r="P148" s="17"/>
      <c r="Q148" s="17"/>
      <c r="R148" s="17"/>
      <c r="S148" s="17"/>
      <c r="T148" s="17"/>
      <c r="U148" s="17"/>
      <c r="V148" s="17"/>
      <c r="W148" s="17"/>
      <c r="X148" s="17"/>
      <c r="Y148" s="17"/>
      <c r="Z148" s="17"/>
    </row>
    <row r="149" spans="1:26" ht="13">
      <c r="A149" s="58"/>
      <c r="B149" s="17"/>
      <c r="C149" s="17"/>
      <c r="D149" s="17"/>
      <c r="E149" s="17" t="str">
        <f ca="1">IFERROR(__xludf.DUMMYFUNCTION("""COMPUTED_VALUE"""),"TikTok")</f>
        <v>TikTok</v>
      </c>
      <c r="F149" s="17"/>
      <c r="G149" s="17"/>
      <c r="H149" s="17"/>
      <c r="I149" s="17"/>
      <c r="J149" s="17"/>
      <c r="K149" s="17"/>
      <c r="L149" s="17"/>
      <c r="M149" s="17"/>
      <c r="N149" s="17"/>
      <c r="O149" s="17"/>
      <c r="P149" s="17"/>
      <c r="Q149" s="17"/>
      <c r="R149" s="17"/>
      <c r="S149" s="17"/>
      <c r="T149" s="17"/>
      <c r="U149" s="17"/>
      <c r="V149" s="17"/>
      <c r="W149" s="17"/>
      <c r="X149" s="17"/>
      <c r="Y149" s="17"/>
      <c r="Z149" s="17"/>
    </row>
    <row r="150" spans="1:26" ht="13">
      <c r="A150" s="58"/>
      <c r="B150" s="17"/>
      <c r="C150" s="17"/>
      <c r="D150" s="17"/>
      <c r="E150" s="17" t="str">
        <f ca="1">IFERROR(__xludf.DUMMYFUNCTION("""COMPUTED_VALUE"""),"The Balance Company")</f>
        <v>The Balance Company</v>
      </c>
      <c r="F150" s="17"/>
      <c r="G150" s="17"/>
      <c r="H150" s="17"/>
      <c r="I150" s="17"/>
      <c r="J150" s="17"/>
      <c r="K150" s="17"/>
      <c r="L150" s="17"/>
      <c r="M150" s="17"/>
      <c r="N150" s="17"/>
      <c r="O150" s="17"/>
      <c r="P150" s="17"/>
      <c r="Q150" s="17"/>
      <c r="R150" s="17"/>
      <c r="S150" s="17"/>
      <c r="T150" s="17"/>
      <c r="U150" s="17"/>
      <c r="V150" s="17"/>
      <c r="W150" s="17"/>
      <c r="X150" s="17"/>
      <c r="Y150" s="17"/>
      <c r="Z150" s="17"/>
    </row>
    <row r="151" spans="1:26" ht="13">
      <c r="A151" s="58"/>
      <c r="B151" s="17"/>
      <c r="C151" s="17"/>
      <c r="D151" s="17"/>
      <c r="E151" s="17" t="str">
        <f ca="1">IFERROR(__xludf.DUMMYFUNCTION("""COMPUTED_VALUE"""),"Cash in asia")</f>
        <v>Cash in asia</v>
      </c>
      <c r="F151" s="17"/>
      <c r="G151" s="17"/>
      <c r="H151" s="17"/>
      <c r="I151" s="17"/>
      <c r="J151" s="17"/>
      <c r="K151" s="17"/>
      <c r="L151" s="17"/>
      <c r="M151" s="17"/>
      <c r="N151" s="17"/>
      <c r="O151" s="17"/>
      <c r="P151" s="17"/>
      <c r="Q151" s="17"/>
      <c r="R151" s="17"/>
      <c r="S151" s="17"/>
      <c r="T151" s="17"/>
      <c r="U151" s="17"/>
      <c r="V151" s="17"/>
      <c r="W151" s="17"/>
      <c r="X151" s="17"/>
      <c r="Y151" s="17"/>
      <c r="Z151" s="17"/>
    </row>
    <row r="152" spans="1:26" ht="13">
      <c r="A152" s="58"/>
      <c r="B152" s="17"/>
      <c r="C152" s="17"/>
      <c r="D152" s="17"/>
      <c r="E152" s="17" t="str">
        <f ca="1">IFERROR(__xludf.DUMMYFUNCTION("""COMPUTED_VALUE"""),"Snapask")</f>
        <v>Snapask</v>
      </c>
      <c r="F152" s="17"/>
      <c r="G152" s="17"/>
      <c r="H152" s="17"/>
      <c r="I152" s="17"/>
      <c r="J152" s="17"/>
      <c r="K152" s="17"/>
      <c r="L152" s="17"/>
      <c r="M152" s="17"/>
      <c r="N152" s="17"/>
      <c r="O152" s="17"/>
      <c r="P152" s="17"/>
      <c r="Q152" s="17"/>
      <c r="R152" s="17"/>
      <c r="S152" s="17"/>
      <c r="T152" s="17"/>
      <c r="U152" s="17"/>
      <c r="V152" s="17"/>
      <c r="W152" s="17"/>
      <c r="X152" s="17"/>
      <c r="Y152" s="17"/>
      <c r="Z152" s="17"/>
    </row>
    <row r="153" spans="1:26" ht="13">
      <c r="A153" s="58"/>
      <c r="B153" s="17"/>
      <c r="C153" s="17"/>
      <c r="D153" s="17"/>
      <c r="E153" s="17" t="str">
        <f ca="1">IFERROR(__xludf.DUMMYFUNCTION("""COMPUTED_VALUE"""),"PT. Soyaka Cerdas Kaya (Shox Indonesia)")</f>
        <v>PT. Soyaka Cerdas Kaya (Shox Indonesia)</v>
      </c>
      <c r="F153" s="17"/>
      <c r="G153" s="17"/>
      <c r="H153" s="17"/>
      <c r="I153" s="17"/>
      <c r="J153" s="17"/>
      <c r="K153" s="17"/>
      <c r="L153" s="17"/>
      <c r="M153" s="17"/>
      <c r="N153" s="17"/>
      <c r="O153" s="17"/>
      <c r="P153" s="17"/>
      <c r="Q153" s="17"/>
      <c r="R153" s="17"/>
      <c r="S153" s="17"/>
      <c r="T153" s="17"/>
      <c r="U153" s="17"/>
      <c r="V153" s="17"/>
      <c r="W153" s="17"/>
      <c r="X153" s="17"/>
      <c r="Y153" s="17"/>
      <c r="Z153" s="17"/>
    </row>
    <row r="154" spans="1:26" ht="13">
      <c r="A154" s="58"/>
      <c r="B154" s="17"/>
      <c r="C154" s="17"/>
      <c r="D154" s="17"/>
      <c r="E154" s="17" t="str">
        <f ca="1">IFERROR(__xludf.DUMMYFUNCTION("""COMPUTED_VALUE"""),"EtonHouse")</f>
        <v>EtonHouse</v>
      </c>
      <c r="F154" s="17"/>
      <c r="G154" s="17"/>
      <c r="H154" s="17"/>
      <c r="I154" s="17"/>
      <c r="J154" s="17"/>
      <c r="K154" s="17"/>
      <c r="L154" s="17"/>
      <c r="M154" s="17"/>
      <c r="N154" s="17"/>
      <c r="O154" s="17"/>
      <c r="P154" s="17"/>
      <c r="Q154" s="17"/>
      <c r="R154" s="17"/>
      <c r="S154" s="17"/>
      <c r="T154" s="17"/>
      <c r="U154" s="17"/>
      <c r="V154" s="17"/>
      <c r="W154" s="17"/>
      <c r="X154" s="17"/>
      <c r="Y154" s="17"/>
      <c r="Z154" s="17"/>
    </row>
    <row r="155" spans="1:26" ht="13">
      <c r="A155" s="58"/>
      <c r="B155" s="17"/>
      <c r="C155" s="17"/>
      <c r="D155" s="17"/>
      <c r="E155" s="17" t="str">
        <f ca="1">IFERROR(__xludf.DUMMYFUNCTION("""COMPUTED_VALUE"""),"ShopBack")</f>
        <v>ShopBack</v>
      </c>
      <c r="F155" s="17"/>
      <c r="G155" s="17"/>
      <c r="H155" s="17"/>
      <c r="I155" s="17"/>
      <c r="J155" s="17"/>
      <c r="K155" s="17"/>
      <c r="L155" s="17"/>
      <c r="M155" s="17"/>
      <c r="N155" s="17"/>
      <c r="O155" s="17"/>
      <c r="P155" s="17"/>
      <c r="Q155" s="17"/>
      <c r="R155" s="17"/>
      <c r="S155" s="17"/>
      <c r="T155" s="17"/>
      <c r="U155" s="17"/>
      <c r="V155" s="17"/>
      <c r="W155" s="17"/>
      <c r="X155" s="17"/>
      <c r="Y155" s="17"/>
      <c r="Z155" s="17"/>
    </row>
    <row r="156" spans="1:26" ht="13">
      <c r="A156" s="58"/>
      <c r="B156" s="17"/>
      <c r="C156" s="17"/>
      <c r="D156" s="17"/>
      <c r="E156" s="17" t="str">
        <f ca="1">IFERROR(__xludf.DUMMYFUNCTION("""COMPUTED_VALUE"""),"Ice House")</f>
        <v>Ice House</v>
      </c>
      <c r="F156" s="17"/>
      <c r="G156" s="17"/>
      <c r="H156" s="17"/>
      <c r="I156" s="17"/>
      <c r="J156" s="17"/>
      <c r="K156" s="17"/>
      <c r="L156" s="17"/>
      <c r="M156" s="17"/>
      <c r="N156" s="17"/>
      <c r="O156" s="17"/>
      <c r="P156" s="17"/>
      <c r="Q156" s="17"/>
      <c r="R156" s="17"/>
      <c r="S156" s="17"/>
      <c r="T156" s="17"/>
      <c r="U156" s="17"/>
      <c r="V156" s="17"/>
      <c r="W156" s="17"/>
      <c r="X156" s="17"/>
      <c r="Y156" s="17"/>
      <c r="Z156" s="17"/>
    </row>
    <row r="157" spans="1:26" ht="13">
      <c r="A157" s="58"/>
      <c r="B157" s="17"/>
      <c r="C157" s="17"/>
      <c r="D157" s="17"/>
      <c r="E157" s="17" t="str">
        <f ca="1">IFERROR(__xludf.DUMMYFUNCTION("""COMPUTED_VALUE"""),"SourceSage")</f>
        <v>SourceSage</v>
      </c>
      <c r="F157" s="17"/>
      <c r="G157" s="17"/>
      <c r="H157" s="17"/>
      <c r="I157" s="17"/>
      <c r="J157" s="17"/>
      <c r="K157" s="17"/>
      <c r="L157" s="17"/>
      <c r="M157" s="17"/>
      <c r="N157" s="17"/>
      <c r="O157" s="17"/>
      <c r="P157" s="17"/>
      <c r="Q157" s="17"/>
      <c r="R157" s="17"/>
      <c r="S157" s="17"/>
      <c r="T157" s="17"/>
      <c r="U157" s="17"/>
      <c r="V157" s="17"/>
      <c r="W157" s="17"/>
      <c r="X157" s="17"/>
      <c r="Y157" s="17"/>
      <c r="Z157" s="17"/>
    </row>
    <row r="158" spans="1:26" ht="13">
      <c r="A158" s="58"/>
      <c r="B158" s="17"/>
      <c r="C158" s="17"/>
      <c r="D158" s="17"/>
      <c r="E158" s="17" t="str">
        <f ca="1">IFERROR(__xludf.DUMMYFUNCTION("""COMPUTED_VALUE"""),"AI Software Develop")</f>
        <v>AI Software Develop</v>
      </c>
      <c r="F158" s="17"/>
      <c r="G158" s="17"/>
      <c r="H158" s="17"/>
      <c r="I158" s="17"/>
      <c r="J158" s="17"/>
      <c r="K158" s="17"/>
      <c r="L158" s="17"/>
      <c r="M158" s="17"/>
      <c r="N158" s="17"/>
      <c r="O158" s="17"/>
      <c r="P158" s="17"/>
      <c r="Q158" s="17"/>
      <c r="R158" s="17"/>
      <c r="S158" s="17"/>
      <c r="T158" s="17"/>
      <c r="U158" s="17"/>
      <c r="V158" s="17"/>
      <c r="W158" s="17"/>
      <c r="X158" s="17"/>
      <c r="Y158" s="17"/>
      <c r="Z158" s="17"/>
    </row>
    <row r="159" spans="1:26" ht="13">
      <c r="A159" s="58"/>
      <c r="B159" s="17"/>
      <c r="C159" s="17"/>
      <c r="D159" s="17"/>
      <c r="E159" s="17" t="str">
        <f ca="1">IFERROR(__xludf.DUMMYFUNCTION("""COMPUTED_VALUE"""),"iZeno Pte Ltd")</f>
        <v>iZeno Pte Ltd</v>
      </c>
      <c r="F159" s="17"/>
      <c r="G159" s="17"/>
      <c r="H159" s="17"/>
      <c r="I159" s="17"/>
      <c r="J159" s="17"/>
      <c r="K159" s="17"/>
      <c r="L159" s="17"/>
      <c r="M159" s="17"/>
      <c r="N159" s="17"/>
      <c r="O159" s="17"/>
      <c r="P159" s="17"/>
      <c r="Q159" s="17"/>
      <c r="R159" s="17"/>
      <c r="S159" s="17"/>
      <c r="T159" s="17"/>
      <c r="U159" s="17"/>
      <c r="V159" s="17"/>
      <c r="W159" s="17"/>
      <c r="X159" s="17"/>
      <c r="Y159" s="17"/>
      <c r="Z159" s="17"/>
    </row>
    <row r="160" spans="1:26" ht="13">
      <c r="A160" s="58"/>
      <c r="B160" s="17"/>
      <c r="C160" s="17"/>
      <c r="D160" s="17"/>
      <c r="E160" s="17" t="str">
        <f ca="1">IFERROR(__xludf.DUMMYFUNCTION("""COMPUTED_VALUE"""),"iZeno Sdn Bhd")</f>
        <v>iZeno Sdn Bhd</v>
      </c>
      <c r="F160" s="17"/>
      <c r="G160" s="17"/>
      <c r="H160" s="17"/>
      <c r="I160" s="17"/>
      <c r="J160" s="17"/>
      <c r="K160" s="17"/>
      <c r="L160" s="17"/>
      <c r="M160" s="17"/>
      <c r="N160" s="17"/>
      <c r="O160" s="17"/>
      <c r="P160" s="17"/>
      <c r="Q160" s="17"/>
      <c r="R160" s="17"/>
      <c r="S160" s="17"/>
      <c r="T160" s="17"/>
      <c r="U160" s="17"/>
      <c r="V160" s="17"/>
      <c r="W160" s="17"/>
      <c r="X160" s="17"/>
      <c r="Y160" s="17"/>
      <c r="Z160" s="17"/>
    </row>
    <row r="161" spans="1:26" ht="13">
      <c r="A161" s="58"/>
      <c r="B161" s="17"/>
      <c r="C161" s="17"/>
      <c r="D161" s="17"/>
      <c r="E161" s="55" t="str">
        <f ca="1">IFERROR(__xludf.DUMMYFUNCTION("""COMPUTED_VALUE"""),"Storial.co")</f>
        <v>Storial.co</v>
      </c>
      <c r="F161" s="17"/>
      <c r="G161" s="17"/>
      <c r="H161" s="17"/>
      <c r="I161" s="17"/>
      <c r="J161" s="17"/>
      <c r="K161" s="17"/>
      <c r="L161" s="17"/>
      <c r="M161" s="17"/>
      <c r="N161" s="17"/>
      <c r="O161" s="17"/>
      <c r="P161" s="17"/>
      <c r="Q161" s="17"/>
      <c r="R161" s="17"/>
      <c r="S161" s="17"/>
      <c r="T161" s="17"/>
      <c r="U161" s="17"/>
      <c r="V161" s="17"/>
      <c r="W161" s="17"/>
      <c r="X161" s="17"/>
      <c r="Y161" s="17"/>
      <c r="Z161" s="17"/>
    </row>
    <row r="162" spans="1:26" ht="13">
      <c r="A162" s="58"/>
      <c r="B162" s="17"/>
      <c r="C162" s="17"/>
      <c r="D162" s="17"/>
      <c r="E162" s="17" t="str">
        <f ca="1">IFERROR(__xludf.DUMMYFUNCTION("""COMPUTED_VALUE"""),"ZALORA")</f>
        <v>ZALORA</v>
      </c>
      <c r="F162" s="17"/>
      <c r="G162" s="17"/>
      <c r="H162" s="17"/>
      <c r="I162" s="17"/>
      <c r="J162" s="17"/>
      <c r="K162" s="17"/>
      <c r="L162" s="17"/>
      <c r="M162" s="17"/>
      <c r="N162" s="17"/>
      <c r="O162" s="17"/>
      <c r="P162" s="17"/>
      <c r="Q162" s="17"/>
      <c r="R162" s="17"/>
      <c r="S162" s="17"/>
      <c r="T162" s="17"/>
      <c r="U162" s="17"/>
      <c r="V162" s="17"/>
      <c r="W162" s="17"/>
      <c r="X162" s="17"/>
      <c r="Y162" s="17"/>
      <c r="Z162" s="17"/>
    </row>
    <row r="163" spans="1:26" ht="13">
      <c r="A163" s="58"/>
      <c r="B163" s="17"/>
      <c r="C163" s="17"/>
      <c r="D163" s="17"/>
      <c r="E163" s="17" t="str">
        <f ca="1">IFERROR(__xludf.DUMMYFUNCTION("""COMPUTED_VALUE"""),"99co")</f>
        <v>99co</v>
      </c>
      <c r="F163" s="17"/>
      <c r="G163" s="17"/>
      <c r="H163" s="17"/>
      <c r="I163" s="17"/>
      <c r="J163" s="17"/>
      <c r="K163" s="17"/>
      <c r="L163" s="17"/>
      <c r="M163" s="17"/>
      <c r="N163" s="17"/>
      <c r="O163" s="17"/>
      <c r="P163" s="17"/>
      <c r="Q163" s="17"/>
      <c r="R163" s="17"/>
      <c r="S163" s="17"/>
      <c r="T163" s="17"/>
      <c r="U163" s="17"/>
      <c r="V163" s="17"/>
      <c r="W163" s="17"/>
      <c r="X163" s="17"/>
      <c r="Y163" s="17"/>
      <c r="Z163" s="17"/>
    </row>
    <row r="164" spans="1:26" ht="13">
      <c r="A164" s="58"/>
      <c r="B164" s="17"/>
      <c r="C164" s="17"/>
      <c r="D164" s="17"/>
      <c r="E164" s="17" t="str">
        <f ca="1">IFERROR(__xludf.DUMMYFUNCTION("""COMPUTED_VALUE"""),"Helicap Pte. Ltd")</f>
        <v>Helicap Pte. Ltd</v>
      </c>
      <c r="F164" s="17"/>
      <c r="G164" s="17"/>
      <c r="H164" s="17"/>
      <c r="I164" s="17"/>
      <c r="J164" s="17"/>
      <c r="K164" s="17"/>
      <c r="L164" s="17"/>
      <c r="M164" s="17"/>
      <c r="N164" s="17"/>
      <c r="O164" s="17"/>
      <c r="P164" s="17"/>
      <c r="Q164" s="17"/>
      <c r="R164" s="17"/>
      <c r="S164" s="17"/>
      <c r="T164" s="17"/>
      <c r="U164" s="17"/>
      <c r="V164" s="17"/>
      <c r="W164" s="17"/>
      <c r="X164" s="17"/>
      <c r="Y164" s="17"/>
      <c r="Z164" s="17"/>
    </row>
    <row r="165" spans="1:26" ht="13">
      <c r="A165" s="58"/>
      <c r="B165" s="17"/>
      <c r="C165" s="17"/>
      <c r="D165" s="17"/>
      <c r="E165" s="17" t="str">
        <f ca="1">IFERROR(__xludf.DUMMYFUNCTION("""COMPUTED_VALUE"""),"InfraDigital")</f>
        <v>InfraDigital</v>
      </c>
      <c r="F165" s="17"/>
      <c r="G165" s="17"/>
      <c r="H165" s="17"/>
      <c r="I165" s="17"/>
      <c r="J165" s="17"/>
      <c r="K165" s="17"/>
      <c r="L165" s="17"/>
      <c r="M165" s="17"/>
      <c r="N165" s="17"/>
      <c r="O165" s="17"/>
      <c r="P165" s="17"/>
      <c r="Q165" s="17"/>
      <c r="R165" s="17"/>
      <c r="S165" s="17"/>
      <c r="T165" s="17"/>
      <c r="U165" s="17"/>
      <c r="V165" s="17"/>
      <c r="W165" s="17"/>
      <c r="X165" s="17"/>
      <c r="Y165" s="17"/>
      <c r="Z165" s="17"/>
    </row>
    <row r="166" spans="1:26" ht="13">
      <c r="A166" s="58"/>
      <c r="B166" s="17"/>
      <c r="C166" s="17"/>
      <c r="D166" s="17"/>
      <c r="E166" s="17" t="str">
        <f ca="1">IFERROR(__xludf.DUMMYFUNCTION("""COMPUTED_VALUE"""),"RAS RECRUITMENT")</f>
        <v>RAS RECRUITMENT</v>
      </c>
      <c r="F166" s="17"/>
      <c r="G166" s="17"/>
      <c r="H166" s="17"/>
      <c r="I166" s="17"/>
      <c r="J166" s="17"/>
      <c r="K166" s="17"/>
      <c r="L166" s="17"/>
      <c r="M166" s="17"/>
      <c r="N166" s="17"/>
      <c r="O166" s="17"/>
      <c r="P166" s="17"/>
      <c r="Q166" s="17"/>
      <c r="R166" s="17"/>
      <c r="S166" s="17"/>
      <c r="T166" s="17"/>
      <c r="U166" s="17"/>
      <c r="V166" s="17"/>
      <c r="W166" s="17"/>
      <c r="X166" s="17"/>
      <c r="Y166" s="17"/>
      <c r="Z166" s="17"/>
    </row>
    <row r="167" spans="1:26" ht="13">
      <c r="A167" s="58"/>
      <c r="B167" s="17"/>
      <c r="C167" s="17"/>
      <c r="D167" s="17"/>
      <c r="E167" s="17" t="str">
        <f ca="1">IFERROR(__xludf.DUMMYFUNCTION("""COMPUTED_VALUE"""),"Approvd")</f>
        <v>Approvd</v>
      </c>
      <c r="F167" s="17"/>
      <c r="G167" s="17"/>
      <c r="H167" s="17"/>
      <c r="I167" s="17"/>
      <c r="J167" s="17"/>
      <c r="K167" s="17"/>
      <c r="L167" s="17"/>
      <c r="M167" s="17"/>
      <c r="N167" s="17"/>
      <c r="O167" s="17"/>
      <c r="P167" s="17"/>
      <c r="Q167" s="17"/>
      <c r="R167" s="17"/>
      <c r="S167" s="17"/>
      <c r="T167" s="17"/>
      <c r="U167" s="17"/>
      <c r="V167" s="17"/>
      <c r="W167" s="17"/>
      <c r="X167" s="17"/>
      <c r="Y167" s="17"/>
      <c r="Z167" s="17"/>
    </row>
    <row r="168" spans="1:26" ht="13">
      <c r="A168" s="58"/>
      <c r="B168" s="17"/>
      <c r="C168" s="17"/>
      <c r="D168" s="17"/>
      <c r="E168" s="17" t="str">
        <f ca="1">IFERROR(__xludf.DUMMYFUNCTION("""COMPUTED_VALUE"""),"MeetButter")</f>
        <v>MeetButter</v>
      </c>
      <c r="F168" s="17"/>
      <c r="G168" s="17"/>
      <c r="H168" s="17"/>
      <c r="I168" s="17"/>
      <c r="J168" s="17"/>
      <c r="K168" s="17"/>
      <c r="L168" s="17"/>
      <c r="M168" s="17"/>
      <c r="N168" s="17"/>
      <c r="O168" s="17"/>
      <c r="P168" s="17"/>
      <c r="Q168" s="17"/>
      <c r="R168" s="17"/>
      <c r="S168" s="17"/>
      <c r="T168" s="17"/>
      <c r="U168" s="17"/>
      <c r="V168" s="17"/>
      <c r="W168" s="17"/>
      <c r="X168" s="17"/>
      <c r="Y168" s="17"/>
      <c r="Z168" s="17"/>
    </row>
    <row r="169" spans="1:26" ht="13">
      <c r="A169" s="58"/>
      <c r="B169" s="17"/>
      <c r="C169" s="17"/>
      <c r="D169" s="17"/>
      <c r="E169" s="17" t="str">
        <f ca="1">IFERROR(__xludf.DUMMYFUNCTION("""COMPUTED_VALUE"""),"Castlery")</f>
        <v>Castlery</v>
      </c>
      <c r="F169" s="17"/>
      <c r="G169" s="17"/>
      <c r="H169" s="17"/>
      <c r="I169" s="17"/>
      <c r="J169" s="17"/>
      <c r="K169" s="17"/>
      <c r="L169" s="17"/>
      <c r="M169" s="17"/>
      <c r="N169" s="17"/>
      <c r="O169" s="17"/>
      <c r="P169" s="17"/>
      <c r="Q169" s="17"/>
      <c r="R169" s="17"/>
      <c r="S169" s="17"/>
      <c r="T169" s="17"/>
      <c r="U169" s="17"/>
      <c r="V169" s="17"/>
      <c r="W169" s="17"/>
      <c r="X169" s="17"/>
      <c r="Y169" s="17"/>
      <c r="Z169" s="17"/>
    </row>
    <row r="170" spans="1:26" ht="13">
      <c r="A170" s="58"/>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
      <c r="A171" s="58"/>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
      <c r="A172" s="58"/>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
      <c r="A173" s="58"/>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
      <c r="A174" s="58"/>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
      <c r="A175" s="58"/>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
      <c r="A176" s="58"/>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
      <c r="A177" s="58"/>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
      <c r="A178" s="58"/>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
      <c r="A179" s="58"/>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
      <c r="A180" s="58"/>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
      <c r="A181" s="58"/>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
      <c r="A182" s="58"/>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
      <c r="A183" s="58"/>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
      <c r="A184" s="58"/>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
      <c r="A185" s="58"/>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
      <c r="A186" s="58"/>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
      <c r="A187" s="58"/>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
      <c r="A188" s="58"/>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
      <c r="A189" s="58"/>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
      <c r="A190" s="58"/>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
      <c r="A191" s="58"/>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
      <c r="A192" s="58"/>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
      <c r="A193" s="58"/>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
      <c r="A194" s="58"/>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
      <c r="A195" s="58"/>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
      <c r="A196" s="58"/>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
      <c r="A197" s="58"/>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
      <c r="A198" s="58"/>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
      <c r="A199" s="58"/>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
      <c r="A200" s="58"/>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
      <c r="A201" s="58"/>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
      <c r="A202" s="58"/>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
      <c r="A203" s="58"/>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
      <c r="A204" s="58"/>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
      <c r="A205" s="58"/>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
      <c r="A206" s="58"/>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
      <c r="A207" s="58"/>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
      <c r="A208" s="58"/>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
      <c r="A209" s="58"/>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
      <c r="A210" s="58"/>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
      <c r="A211" s="58"/>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
      <c r="A212" s="58"/>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
      <c r="A213" s="58"/>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
      <c r="A214" s="58"/>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
      <c r="A215" s="58"/>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
      <c r="A216" s="58"/>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
      <c r="A217" s="58"/>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
      <c r="A218" s="58"/>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
      <c r="A219" s="58"/>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
      <c r="A220" s="58"/>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
      <c r="A221" s="58"/>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
      <c r="A222" s="58"/>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
      <c r="A223" s="58"/>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
      <c r="A224" s="58"/>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
      <c r="A225" s="58"/>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
      <c r="A226" s="58"/>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3">
      <c r="A227" s="58"/>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3">
      <c r="A228" s="58"/>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3">
      <c r="A229" s="58"/>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3">
      <c r="A230" s="58"/>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3">
      <c r="A231" s="58"/>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3">
      <c r="A232" s="58"/>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3">
      <c r="A233" s="58"/>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3">
      <c r="A234" s="58"/>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3">
      <c r="A235" s="58"/>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3">
      <c r="A236" s="58"/>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3">
      <c r="A237" s="58"/>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3">
      <c r="A238" s="58"/>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3">
      <c r="A239" s="58"/>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3">
      <c r="A240" s="58"/>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3">
      <c r="A241" s="58"/>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3">
      <c r="A242" s="58"/>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3">
      <c r="A243" s="58"/>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3">
      <c r="A244" s="58"/>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3">
      <c r="A245" s="58"/>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3">
      <c r="A246" s="58"/>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3">
      <c r="A247" s="58"/>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3">
      <c r="A248" s="58"/>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3">
      <c r="A249" s="58"/>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3">
      <c r="A250" s="58"/>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3">
      <c r="A251" s="58"/>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3">
      <c r="A252" s="58"/>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3">
      <c r="A253" s="58"/>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3">
      <c r="A254" s="58"/>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3">
      <c r="A255" s="58"/>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3">
      <c r="A256" s="58"/>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3">
      <c r="A257" s="58"/>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3">
      <c r="A258" s="58"/>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3">
      <c r="A259" s="58"/>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3">
      <c r="A260" s="58"/>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3">
      <c r="A261" s="58"/>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3">
      <c r="A262" s="58"/>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3">
      <c r="A263" s="58"/>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3">
      <c r="A264" s="58"/>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3">
      <c r="A265" s="58"/>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3">
      <c r="A266" s="58"/>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3">
      <c r="A267" s="58"/>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3">
      <c r="A268" s="58"/>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3">
      <c r="A269" s="58"/>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3">
      <c r="A270" s="58"/>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3">
      <c r="A271" s="58"/>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3">
      <c r="A272" s="58"/>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3">
      <c r="A273" s="58"/>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3">
      <c r="A274" s="58"/>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3">
      <c r="A275" s="58"/>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3">
      <c r="A276" s="58"/>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3">
      <c r="A277" s="58"/>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3">
      <c r="A278" s="58"/>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3">
      <c r="A279" s="58"/>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3">
      <c r="A280" s="58"/>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3">
      <c r="A281" s="58"/>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3">
      <c r="A282" s="58"/>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3">
      <c r="A283" s="58"/>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3">
      <c r="A284" s="58"/>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3">
      <c r="A285" s="58"/>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3">
      <c r="A286" s="58"/>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3">
      <c r="A287" s="58"/>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3">
      <c r="A288" s="58"/>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3">
      <c r="A289" s="58"/>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3">
      <c r="A290" s="58"/>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3">
      <c r="A291" s="58"/>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3">
      <c r="A292" s="58"/>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3">
      <c r="A293" s="58"/>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3">
      <c r="A294" s="58"/>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3">
      <c r="A295" s="58"/>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3">
      <c r="A296" s="58"/>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3">
      <c r="A297" s="58"/>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3">
      <c r="A298" s="58"/>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3">
      <c r="A299" s="58"/>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3">
      <c r="A300" s="58"/>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3">
      <c r="A301" s="58"/>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3">
      <c r="A302" s="58"/>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3">
      <c r="A303" s="58"/>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3">
      <c r="A304" s="58"/>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3">
      <c r="A305" s="58"/>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3">
      <c r="A306" s="58"/>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3">
      <c r="A307" s="58"/>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3">
      <c r="A308" s="58"/>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3">
      <c r="A309" s="58"/>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3">
      <c r="A310" s="58"/>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3">
      <c r="A311" s="58"/>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3">
      <c r="A312" s="58"/>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3">
      <c r="A313" s="58"/>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3">
      <c r="A314" s="58"/>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3">
      <c r="A315" s="58"/>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3">
      <c r="A316" s="58"/>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3">
      <c r="A317" s="58"/>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3">
      <c r="A318" s="58"/>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3">
      <c r="A319" s="58"/>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3">
      <c r="A320" s="58"/>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3">
      <c r="A321" s="58"/>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3">
      <c r="A322" s="58"/>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3">
      <c r="A323" s="58"/>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3">
      <c r="A324" s="58"/>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3">
      <c r="A325" s="58"/>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3">
      <c r="A326" s="58"/>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3">
      <c r="A327" s="58"/>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3">
      <c r="A328" s="58"/>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3">
      <c r="A329" s="58"/>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3">
      <c r="A330" s="58"/>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3">
      <c r="A331" s="58"/>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3">
      <c r="A332" s="58"/>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3">
      <c r="A333" s="58"/>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3">
      <c r="A334" s="58"/>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3">
      <c r="A335" s="58"/>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3">
      <c r="A336" s="58"/>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3">
      <c r="A337" s="58"/>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3">
      <c r="A338" s="58"/>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3">
      <c r="A339" s="58"/>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3">
      <c r="A340" s="58"/>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3">
      <c r="A341" s="58"/>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3">
      <c r="A342" s="58"/>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3">
      <c r="A343" s="58"/>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3">
      <c r="A344" s="58"/>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3">
      <c r="A345" s="58"/>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3">
      <c r="A346" s="58"/>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3">
      <c r="A347" s="58"/>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3">
      <c r="A348" s="58"/>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3">
      <c r="A349" s="58"/>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3">
      <c r="A350" s="58"/>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3">
      <c r="A351" s="58"/>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3">
      <c r="A352" s="58"/>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3">
      <c r="A353" s="58"/>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3">
      <c r="A354" s="58"/>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3">
      <c r="A355" s="58"/>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3">
      <c r="A356" s="58"/>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3">
      <c r="A357" s="58"/>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3">
      <c r="A358" s="58"/>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3">
      <c r="A359" s="58"/>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3">
      <c r="A360" s="58"/>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3">
      <c r="A361" s="58"/>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3">
      <c r="A362" s="58"/>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3">
      <c r="A363" s="58"/>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3">
      <c r="A364" s="58"/>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3">
      <c r="A365" s="58"/>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3">
      <c r="A366" s="58"/>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3">
      <c r="A367" s="58"/>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3">
      <c r="A368" s="58"/>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3">
      <c r="A369" s="58"/>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3">
      <c r="A370" s="58"/>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3">
      <c r="A371" s="58"/>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3">
      <c r="A372" s="58"/>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3">
      <c r="A373" s="58"/>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3">
      <c r="A374" s="58"/>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3">
      <c r="A375" s="58"/>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3">
      <c r="A376" s="58"/>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3">
      <c r="A377" s="58"/>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3">
      <c r="A378" s="58"/>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3">
      <c r="A379" s="58"/>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3">
      <c r="A380" s="58"/>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3">
      <c r="A381" s="58"/>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3">
      <c r="A382" s="58"/>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3">
      <c r="A383" s="58"/>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3">
      <c r="A384" s="58"/>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3">
      <c r="A385" s="58"/>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3">
      <c r="A386" s="58"/>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3">
      <c r="A387" s="58"/>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3">
      <c r="A388" s="58"/>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3">
      <c r="A389" s="58"/>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3">
      <c r="A390" s="58"/>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3">
      <c r="A391" s="58"/>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3">
      <c r="A392" s="58"/>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3">
      <c r="A393" s="58"/>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3">
      <c r="A394" s="58"/>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3">
      <c r="A395" s="58"/>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3">
      <c r="A396" s="58"/>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3">
      <c r="A397" s="58"/>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3">
      <c r="A398" s="58"/>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3">
      <c r="A399" s="58"/>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3">
      <c r="A400" s="58"/>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3">
      <c r="A401" s="58"/>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3">
      <c r="A402" s="58"/>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3">
      <c r="A403" s="58"/>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3">
      <c r="A404" s="58"/>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3">
      <c r="A405" s="58"/>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3">
      <c r="A406" s="58"/>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3">
      <c r="A407" s="58"/>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3">
      <c r="A408" s="58"/>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3">
      <c r="A409" s="58"/>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3">
      <c r="A410" s="58"/>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3">
      <c r="A411" s="58"/>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3">
      <c r="A412" s="58"/>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3">
      <c r="A413" s="58"/>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3">
      <c r="A414" s="58"/>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3">
      <c r="A415" s="58"/>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3">
      <c r="A416" s="58"/>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3">
      <c r="A417" s="58"/>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3">
      <c r="A418" s="58"/>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3">
      <c r="A419" s="58"/>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3">
      <c r="A420" s="58"/>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3">
      <c r="A421" s="58"/>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3">
      <c r="A422" s="58"/>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3">
      <c r="A423" s="58"/>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3">
      <c r="A424" s="58"/>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3">
      <c r="A425" s="58"/>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3">
      <c r="A426" s="58"/>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3">
      <c r="A427" s="58"/>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3">
      <c r="A428" s="58"/>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3">
      <c r="A429" s="58"/>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3">
      <c r="A430" s="58"/>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3">
      <c r="A431" s="58"/>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3">
      <c r="A432" s="58"/>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3">
      <c r="A433" s="58"/>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3">
      <c r="A434" s="58"/>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3">
      <c r="A435" s="58"/>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3">
      <c r="A436" s="58"/>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3">
      <c r="A437" s="58"/>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3">
      <c r="A438" s="58"/>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3">
      <c r="A439" s="58"/>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3">
      <c r="A440" s="58"/>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3">
      <c r="A441" s="58"/>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3">
      <c r="A442" s="58"/>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3">
      <c r="A443" s="58"/>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3">
      <c r="A444" s="58"/>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3">
      <c r="A445" s="58"/>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3">
      <c r="A446" s="58"/>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3">
      <c r="A447" s="58"/>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3">
      <c r="A448" s="58"/>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3">
      <c r="A449" s="58"/>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3">
      <c r="A450" s="58"/>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3">
      <c r="A451" s="58"/>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3">
      <c r="A452" s="58"/>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3">
      <c r="A453" s="58"/>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3">
      <c r="A454" s="58"/>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3">
      <c r="A455" s="58"/>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3">
      <c r="A456" s="58"/>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3">
      <c r="A457" s="58"/>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3">
      <c r="A458" s="58"/>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3">
      <c r="A459" s="58"/>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3">
      <c r="A460" s="58"/>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3">
      <c r="A461" s="58"/>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3">
      <c r="A462" s="58"/>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3">
      <c r="A463" s="58"/>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3">
      <c r="A464" s="58"/>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3">
      <c r="A465" s="58"/>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3">
      <c r="A466" s="58"/>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3">
      <c r="A467" s="58"/>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3">
      <c r="A468" s="58"/>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3">
      <c r="A469" s="58"/>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3">
      <c r="A470" s="58"/>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3">
      <c r="A471" s="58"/>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3">
      <c r="A472" s="58"/>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3">
      <c r="A473" s="58"/>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3">
      <c r="A474" s="58"/>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3">
      <c r="A475" s="58"/>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3">
      <c r="A476" s="58"/>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3">
      <c r="A477" s="58"/>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3">
      <c r="A478" s="58"/>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3">
      <c r="A479" s="58"/>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3">
      <c r="A480" s="58"/>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3">
      <c r="A481" s="58"/>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3">
      <c r="A482" s="58"/>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3">
      <c r="A483" s="58"/>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3">
      <c r="A484" s="58"/>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3">
      <c r="A485" s="58"/>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3">
      <c r="A486" s="58"/>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3">
      <c r="A487" s="58"/>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3">
      <c r="A488" s="58"/>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3">
      <c r="A489" s="58"/>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3">
      <c r="A490" s="58"/>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3">
      <c r="A491" s="58"/>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3">
      <c r="A492" s="58"/>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3">
      <c r="A493" s="58"/>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3">
      <c r="A494" s="58"/>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3">
      <c r="A495" s="58"/>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3">
      <c r="A496" s="58"/>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3">
      <c r="A497" s="58"/>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3">
      <c r="A498" s="58"/>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3">
      <c r="A499" s="58"/>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3">
      <c r="A500" s="58"/>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3">
      <c r="A501" s="58"/>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3">
      <c r="A502" s="58"/>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3">
      <c r="A503" s="58"/>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3">
      <c r="A504" s="58"/>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3">
      <c r="A505" s="58"/>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3">
      <c r="A506" s="58"/>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3">
      <c r="A507" s="58"/>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3">
      <c r="A508" s="58"/>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3">
      <c r="A509" s="58"/>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3">
      <c r="A510" s="58"/>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3">
      <c r="A511" s="58"/>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3">
      <c r="A512" s="58"/>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3">
      <c r="A513" s="58"/>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3">
      <c r="A514" s="58"/>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3">
      <c r="A515" s="58"/>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3">
      <c r="A516" s="58"/>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3">
      <c r="A517" s="58"/>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3">
      <c r="A518" s="58"/>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3">
      <c r="A519" s="58"/>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3">
      <c r="A520" s="58"/>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3">
      <c r="A521" s="58"/>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3">
      <c r="A522" s="58"/>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3">
      <c r="A523" s="58"/>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3">
      <c r="A524" s="58"/>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3">
      <c r="A525" s="58"/>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3">
      <c r="A526" s="58"/>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3">
      <c r="A527" s="58"/>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3">
      <c r="A528" s="58"/>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3">
      <c r="A529" s="58"/>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3">
      <c r="A530" s="58"/>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3">
      <c r="A531" s="58"/>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3">
      <c r="A532" s="58"/>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3">
      <c r="A533" s="58"/>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3">
      <c r="A534" s="58"/>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3">
      <c r="A535" s="58"/>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3">
      <c r="A536" s="58"/>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3">
      <c r="A537" s="58"/>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3">
      <c r="A538" s="58"/>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3">
      <c r="A539" s="58"/>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3">
      <c r="A540" s="58"/>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3">
      <c r="A541" s="58"/>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3">
      <c r="A542" s="58"/>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3">
      <c r="A543" s="58"/>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3">
      <c r="A544" s="58"/>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3">
      <c r="A545" s="58"/>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3">
      <c r="A546" s="58"/>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3">
      <c r="A547" s="58"/>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3">
      <c r="A548" s="58"/>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3">
      <c r="A549" s="58"/>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3">
      <c r="A550" s="58"/>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3">
      <c r="A551" s="58"/>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3">
      <c r="A552" s="58"/>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3">
      <c r="A553" s="58"/>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3">
      <c r="A554" s="58"/>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3">
      <c r="A555" s="58"/>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3">
      <c r="A556" s="58"/>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3">
      <c r="A557" s="58"/>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3">
      <c r="A558" s="58"/>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3">
      <c r="A559" s="58"/>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3">
      <c r="A560" s="58"/>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3">
      <c r="A561" s="58"/>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3">
      <c r="A562" s="58"/>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3">
      <c r="A563" s="58"/>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3">
      <c r="A564" s="58"/>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3">
      <c r="A565" s="58"/>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3">
      <c r="A566" s="58"/>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3">
      <c r="A567" s="58"/>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3">
      <c r="A568" s="58"/>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3">
      <c r="A569" s="58"/>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3">
      <c r="A570" s="58"/>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3">
      <c r="A571" s="58"/>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3">
      <c r="A572" s="58"/>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3">
      <c r="A573" s="58"/>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3">
      <c r="A574" s="58"/>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3">
      <c r="A575" s="58"/>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3">
      <c r="A576" s="58"/>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3">
      <c r="A577" s="58"/>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3">
      <c r="A578" s="58"/>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3">
      <c r="A579" s="58"/>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3">
      <c r="A580" s="58"/>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3">
      <c r="A581" s="58"/>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3">
      <c r="A582" s="58"/>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3">
      <c r="A583" s="58"/>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3">
      <c r="A584" s="58"/>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3">
      <c r="A585" s="58"/>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3">
      <c r="A586" s="58"/>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3">
      <c r="A587" s="58"/>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3">
      <c r="A588" s="58"/>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3">
      <c r="A589" s="58"/>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3">
      <c r="A590" s="58"/>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3">
      <c r="A591" s="58"/>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3">
      <c r="A592" s="58"/>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3">
      <c r="A593" s="58"/>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3">
      <c r="A594" s="58"/>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3">
      <c r="A595" s="58"/>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3">
      <c r="A596" s="58"/>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3">
      <c r="A597" s="58"/>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3">
      <c r="A598" s="58"/>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3">
      <c r="A599" s="58"/>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3">
      <c r="A600" s="58"/>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3">
      <c r="A601" s="58"/>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3">
      <c r="A602" s="58"/>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3">
      <c r="A603" s="58"/>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3">
      <c r="A604" s="58"/>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3">
      <c r="A605" s="58"/>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3">
      <c r="A606" s="58"/>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3">
      <c r="A607" s="58"/>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3">
      <c r="A608" s="58"/>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3">
      <c r="A609" s="58"/>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3">
      <c r="A610" s="58"/>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3">
      <c r="A611" s="58"/>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3">
      <c r="A612" s="58"/>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3">
      <c r="A613" s="58"/>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3">
      <c r="A614" s="58"/>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3">
      <c r="A615" s="58"/>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3">
      <c r="A616" s="58"/>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3">
      <c r="A617" s="58"/>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3">
      <c r="A618" s="58"/>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3">
      <c r="A619" s="58"/>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3">
      <c r="A620" s="58"/>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3">
      <c r="A621" s="58"/>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3">
      <c r="A622" s="58"/>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3">
      <c r="A623" s="58"/>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3">
      <c r="A624" s="58"/>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3">
      <c r="A625" s="58"/>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3">
      <c r="A626" s="58"/>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3">
      <c r="A627" s="58"/>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3">
      <c r="A628" s="58"/>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3">
      <c r="A629" s="58"/>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3">
      <c r="A630" s="58"/>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3">
      <c r="A631" s="58"/>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3">
      <c r="A632" s="58"/>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3">
      <c r="A633" s="58"/>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3">
      <c r="A634" s="58"/>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3">
      <c r="A635" s="58"/>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3">
      <c r="A636" s="58"/>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3">
      <c r="A637" s="58"/>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3">
      <c r="A638" s="58"/>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3">
      <c r="A639" s="58"/>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3">
      <c r="A640" s="58"/>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3">
      <c r="A641" s="58"/>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3">
      <c r="A642" s="58"/>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3">
      <c r="A643" s="58"/>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3">
      <c r="A644" s="58"/>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3">
      <c r="A645" s="58"/>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3">
      <c r="A646" s="58"/>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3">
      <c r="A647" s="58"/>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3">
      <c r="A648" s="58"/>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3">
      <c r="A649" s="58"/>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3">
      <c r="A650" s="58"/>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3">
      <c r="A651" s="58"/>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3">
      <c r="A652" s="58"/>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3">
      <c r="A653" s="58"/>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3">
      <c r="A654" s="58"/>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3">
      <c r="A655" s="58"/>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3">
      <c r="A656" s="58"/>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3">
      <c r="A657" s="58"/>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3">
      <c r="A658" s="58"/>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3">
      <c r="A659" s="58"/>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3">
      <c r="A660" s="58"/>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3">
      <c r="A661" s="58"/>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3">
      <c r="A662" s="58"/>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3">
      <c r="A663" s="58"/>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3">
      <c r="A664" s="58"/>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3">
      <c r="A665" s="58"/>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3">
      <c r="A666" s="58"/>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3">
      <c r="A667" s="58"/>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3">
      <c r="A668" s="58"/>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3">
      <c r="A669" s="58"/>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3">
      <c r="A670" s="58"/>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3">
      <c r="A671" s="58"/>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3">
      <c r="A672" s="58"/>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3">
      <c r="A673" s="58"/>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3">
      <c r="A674" s="58"/>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3">
      <c r="A675" s="58"/>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3">
      <c r="A676" s="58"/>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3">
      <c r="A677" s="58"/>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3">
      <c r="A678" s="58"/>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3">
      <c r="A679" s="58"/>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3">
      <c r="A680" s="58"/>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3">
      <c r="A681" s="58"/>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3">
      <c r="A682" s="58"/>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3">
      <c r="A683" s="58"/>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3">
      <c r="A684" s="58"/>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3">
      <c r="A685" s="58"/>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3">
      <c r="A686" s="58"/>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3">
      <c r="A687" s="58"/>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3">
      <c r="A688" s="58"/>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3">
      <c r="A689" s="58"/>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3">
      <c r="A690" s="58"/>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3">
      <c r="A691" s="58"/>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3">
      <c r="A692" s="58"/>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3">
      <c r="A693" s="58"/>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3">
      <c r="A694" s="58"/>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3">
      <c r="A695" s="58"/>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3">
      <c r="A696" s="58"/>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3">
      <c r="A697" s="58"/>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3">
      <c r="A698" s="58"/>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3">
      <c r="A699" s="58"/>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3">
      <c r="A700" s="58"/>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3">
      <c r="A701" s="58"/>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3">
      <c r="A702" s="58"/>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3">
      <c r="A703" s="58"/>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3">
      <c r="A704" s="58"/>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3">
      <c r="A705" s="58"/>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3">
      <c r="A706" s="58"/>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3">
      <c r="A707" s="58"/>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3">
      <c r="A708" s="58"/>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3">
      <c r="A709" s="58"/>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3">
      <c r="A710" s="58"/>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3">
      <c r="A711" s="58"/>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3">
      <c r="A712" s="58"/>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3">
      <c r="A713" s="58"/>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3">
      <c r="A714" s="58"/>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3">
      <c r="A715" s="58"/>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3">
      <c r="A716" s="58"/>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3">
      <c r="A717" s="58"/>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3">
      <c r="A718" s="58"/>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3">
      <c r="A719" s="58"/>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3">
      <c r="A720" s="58"/>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3">
      <c r="A721" s="58"/>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3">
      <c r="A722" s="58"/>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3">
      <c r="A723" s="58"/>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3">
      <c r="A724" s="58"/>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3">
      <c r="A725" s="58"/>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3">
      <c r="A726" s="58"/>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3">
      <c r="A727" s="58"/>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3">
      <c r="A728" s="58"/>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3">
      <c r="A729" s="58"/>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3">
      <c r="A730" s="58"/>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3">
      <c r="A731" s="58"/>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3">
      <c r="A732" s="58"/>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3">
      <c r="A733" s="58"/>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3">
      <c r="A734" s="58"/>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3">
      <c r="A735" s="58"/>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3">
      <c r="A736" s="58"/>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3">
      <c r="A737" s="58"/>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3">
      <c r="A738" s="58"/>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3">
      <c r="A739" s="58"/>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3">
      <c r="A740" s="58"/>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3">
      <c r="A741" s="58"/>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3">
      <c r="A742" s="58"/>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3">
      <c r="A743" s="58"/>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3">
      <c r="A744" s="58"/>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3">
      <c r="A745" s="58"/>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3">
      <c r="A746" s="58"/>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3">
      <c r="A747" s="58"/>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3">
      <c r="A748" s="58"/>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3">
      <c r="A749" s="58"/>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3">
      <c r="A750" s="58"/>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3">
      <c r="A751" s="58"/>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3">
      <c r="A752" s="58"/>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3">
      <c r="A753" s="58"/>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3">
      <c r="A754" s="58"/>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3">
      <c r="A755" s="58"/>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3">
      <c r="A756" s="58"/>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3">
      <c r="A757" s="58"/>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3">
      <c r="A758" s="58"/>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3">
      <c r="A759" s="58"/>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3">
      <c r="A760" s="58"/>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3">
      <c r="A761" s="58"/>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3">
      <c r="A762" s="58"/>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3">
      <c r="A763" s="58"/>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3">
      <c r="A764" s="58"/>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3">
      <c r="A765" s="58"/>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3">
      <c r="A766" s="58"/>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3">
      <c r="A767" s="58"/>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3">
      <c r="A768" s="58"/>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3">
      <c r="A769" s="58"/>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3">
      <c r="A770" s="58"/>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3">
      <c r="A771" s="58"/>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3">
      <c r="A772" s="58"/>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3">
      <c r="A773" s="58"/>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3">
      <c r="A774" s="58"/>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3">
      <c r="A775" s="58"/>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3">
      <c r="A776" s="58"/>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3">
      <c r="A777" s="58"/>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3">
      <c r="A778" s="58"/>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3">
      <c r="A779" s="58"/>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3">
      <c r="A780" s="58"/>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3">
      <c r="A781" s="58"/>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3">
      <c r="A782" s="58"/>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3">
      <c r="A783" s="58"/>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3">
      <c r="A784" s="58"/>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3">
      <c r="A785" s="58"/>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3">
      <c r="A786" s="58"/>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3">
      <c r="A787" s="58"/>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3">
      <c r="A788" s="58"/>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3">
      <c r="A789" s="58"/>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3">
      <c r="A790" s="58"/>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3">
      <c r="A791" s="58"/>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3">
      <c r="A792" s="58"/>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3">
      <c r="A793" s="58"/>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3">
      <c r="A794" s="58"/>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3">
      <c r="A795" s="58"/>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3">
      <c r="A796" s="58"/>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3">
      <c r="A797" s="58"/>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3">
      <c r="A798" s="58"/>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3">
      <c r="A799" s="58"/>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3">
      <c r="A800" s="58"/>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3">
      <c r="A801" s="58"/>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3">
      <c r="A802" s="58"/>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3">
      <c r="A803" s="58"/>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3">
      <c r="A804" s="58"/>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3">
      <c r="A805" s="58"/>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3">
      <c r="A806" s="58"/>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3">
      <c r="A807" s="58"/>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3">
      <c r="A808" s="58"/>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3">
      <c r="A809" s="58"/>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3">
      <c r="A810" s="58"/>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3">
      <c r="A811" s="58"/>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3">
      <c r="A812" s="58"/>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3">
      <c r="A813" s="58"/>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3">
      <c r="A814" s="58"/>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3">
      <c r="A815" s="58"/>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3">
      <c r="A816" s="58"/>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3">
      <c r="A817" s="58"/>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3">
      <c r="A818" s="58"/>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3">
      <c r="A819" s="58"/>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3">
      <c r="A820" s="58"/>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3">
      <c r="A821" s="58"/>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3">
      <c r="A822" s="58"/>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3">
      <c r="A823" s="58"/>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3">
      <c r="A824" s="58"/>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3">
      <c r="A825" s="58"/>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3">
      <c r="A826" s="58"/>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3">
      <c r="A827" s="58"/>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3">
      <c r="A828" s="58"/>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3">
      <c r="A829" s="58"/>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3">
      <c r="A830" s="58"/>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3">
      <c r="A831" s="58"/>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3">
      <c r="A832" s="58"/>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3">
      <c r="A833" s="58"/>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3">
      <c r="A834" s="58"/>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3">
      <c r="A835" s="58"/>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3">
      <c r="A836" s="58"/>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3">
      <c r="A837" s="58"/>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3">
      <c r="A838" s="58"/>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3">
      <c r="A839" s="58"/>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3">
      <c r="A840" s="58"/>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3">
      <c r="A841" s="58"/>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3">
      <c r="A842" s="58"/>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3">
      <c r="A843" s="58"/>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3">
      <c r="A844" s="58"/>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3">
      <c r="A845" s="58"/>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3">
      <c r="A846" s="58"/>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3">
      <c r="A847" s="58"/>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3">
      <c r="A848" s="58"/>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3">
      <c r="A849" s="58"/>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3">
      <c r="A850" s="58"/>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3">
      <c r="A851" s="58"/>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3">
      <c r="A852" s="58"/>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3">
      <c r="A853" s="58"/>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3">
      <c r="A854" s="58"/>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3">
      <c r="A855" s="58"/>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3">
      <c r="A856" s="58"/>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3">
      <c r="A857" s="58"/>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3">
      <c r="A858" s="58"/>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3">
      <c r="A859" s="58"/>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3">
      <c r="A860" s="58"/>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3">
      <c r="A861" s="58"/>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3">
      <c r="A862" s="58"/>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3">
      <c r="A863" s="58"/>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3">
      <c r="A864" s="58"/>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3">
      <c r="A865" s="58"/>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3">
      <c r="A866" s="58"/>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3">
      <c r="A867" s="58"/>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3">
      <c r="A868" s="58"/>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3">
      <c r="A869" s="58"/>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3">
      <c r="A870" s="58"/>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3">
      <c r="A871" s="58"/>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3">
      <c r="A872" s="58"/>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3">
      <c r="A873" s="58"/>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3">
      <c r="A874" s="58"/>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3">
      <c r="A875" s="58"/>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3">
      <c r="A876" s="58"/>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3">
      <c r="A877" s="58"/>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3">
      <c r="A878" s="58"/>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3">
      <c r="A879" s="58"/>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3">
      <c r="A880" s="58"/>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3">
      <c r="A881" s="58"/>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3">
      <c r="A882" s="58"/>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3">
      <c r="A883" s="58"/>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3">
      <c r="A884" s="58"/>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3">
      <c r="A885" s="58"/>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3">
      <c r="A886" s="58"/>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3">
      <c r="A887" s="58"/>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3">
      <c r="A888" s="58"/>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3">
      <c r="A889" s="58"/>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3">
      <c r="A890" s="58"/>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3">
      <c r="A891" s="58"/>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3">
      <c r="A892" s="58"/>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3">
      <c r="A893" s="58"/>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3">
      <c r="A894" s="58"/>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3">
      <c r="A895" s="58"/>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3">
      <c r="A896" s="58"/>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3">
      <c r="A897" s="58"/>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3">
      <c r="A898" s="58"/>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3">
      <c r="A899" s="58"/>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3">
      <c r="A900" s="58"/>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3">
      <c r="A901" s="58"/>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3">
      <c r="A902" s="58"/>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3">
      <c r="A903" s="58"/>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3">
      <c r="A904" s="58"/>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3">
      <c r="A905" s="58"/>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3">
      <c r="A906" s="58"/>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3">
      <c r="A907" s="58"/>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3">
      <c r="A908" s="58"/>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3">
      <c r="A909" s="58"/>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3">
      <c r="A910" s="58"/>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3">
      <c r="A911" s="58"/>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3">
      <c r="A912" s="58"/>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3">
      <c r="A913" s="58"/>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3">
      <c r="A914" s="58"/>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3">
      <c r="A915" s="58"/>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3">
      <c r="A916" s="58"/>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3">
      <c r="A917" s="58"/>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3">
      <c r="A918" s="58"/>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3">
      <c r="A919" s="58"/>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3">
      <c r="A920" s="58"/>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3">
      <c r="A921" s="58"/>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3">
      <c r="A922" s="58"/>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3">
      <c r="A923" s="58"/>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3">
      <c r="A924" s="58"/>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3">
      <c r="A925" s="58"/>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3">
      <c r="A926" s="58"/>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3">
      <c r="A927" s="58"/>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3">
      <c r="A928" s="58"/>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3">
      <c r="A929" s="58"/>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3">
      <c r="A930" s="58"/>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3">
      <c r="A931" s="58"/>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3">
      <c r="A932" s="58"/>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3">
      <c r="A933" s="58"/>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3">
      <c r="A934" s="58"/>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3">
      <c r="A935" s="58"/>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3">
      <c r="A936" s="58"/>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3">
      <c r="A937" s="58"/>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3">
      <c r="A938" s="58"/>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3">
      <c r="A939" s="58"/>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3">
      <c r="A940" s="58"/>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3">
      <c r="A941" s="58"/>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3">
      <c r="A942" s="58"/>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3">
      <c r="A943" s="58"/>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3">
      <c r="A944" s="58"/>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3">
      <c r="A945" s="58"/>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3">
      <c r="A946" s="58"/>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3">
      <c r="A947" s="58"/>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3">
      <c r="A948" s="58"/>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3">
      <c r="A949" s="58"/>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3">
      <c r="A950" s="58"/>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3">
      <c r="A951" s="58"/>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3">
      <c r="A952" s="58"/>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3">
      <c r="A953" s="58"/>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3">
      <c r="A954" s="58"/>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3">
      <c r="A955" s="58"/>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3">
      <c r="A956" s="58"/>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3">
      <c r="A957" s="58"/>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3">
      <c r="A958" s="58"/>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3">
      <c r="A959" s="58"/>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3">
      <c r="A960" s="58"/>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3">
      <c r="A961" s="58"/>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3">
      <c r="A962" s="58"/>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3">
      <c r="A963" s="58"/>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3">
      <c r="A964" s="58"/>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3">
      <c r="A965" s="58"/>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3">
      <c r="A966" s="58"/>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3">
      <c r="A967" s="58"/>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3">
      <c r="A968" s="58"/>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3">
      <c r="A969" s="58"/>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3">
      <c r="A970" s="58"/>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3">
      <c r="A971" s="58"/>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3">
      <c r="A972" s="58"/>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3">
      <c r="A973" s="58"/>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3">
      <c r="A974" s="58"/>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3">
      <c r="A975" s="58"/>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3">
      <c r="A976" s="58"/>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3">
      <c r="A977" s="58"/>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3">
      <c r="A978" s="58"/>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3">
      <c r="A979" s="58"/>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3">
      <c r="A980" s="58"/>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3">
      <c r="A981" s="58"/>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3">
      <c r="A982" s="58"/>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3">
      <c r="A983" s="58"/>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3">
      <c r="A984" s="58"/>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3">
      <c r="A985" s="58"/>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3">
      <c r="A986" s="58"/>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3">
      <c r="A987" s="58"/>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3">
      <c r="A988" s="58"/>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3">
      <c r="A989" s="58"/>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3">
      <c r="A990" s="58"/>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3">
      <c r="A991" s="58"/>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3">
      <c r="A992" s="58"/>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3">
      <c r="A993" s="58"/>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3">
      <c r="A994" s="58"/>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3">
      <c r="A995" s="58"/>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3">
      <c r="A996" s="58"/>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3">
      <c r="A997" s="58"/>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3">
      <c r="A998" s="58"/>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3">
      <c r="A999" s="58"/>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3">
      <c r="A1000" s="58"/>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3">
      <c r="A1001" s="58"/>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3">
      <c r="A1002" s="58"/>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3">
      <c r="A1003" s="58"/>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pans="1:26" ht="13">
      <c r="A1004" s="58"/>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mergeCells count="1">
    <mergeCell ref="B15:B19"/>
  </mergeCells>
  <hyperlinks>
    <hyperlink ref="E3" r:id="rId1" display="http://www.rainmaking.io/" xr:uid="{00000000-0004-0000-0000-000000000000}"/>
    <hyperlink ref="E8" r:id="rId2" display="http://www.futurelabs.vc/" xr:uid="{00000000-0004-0000-0000-000001000000}"/>
    <hyperlink ref="E9" r:id="rId3" display="http://www.crowde.co/" xr:uid="{00000000-0004-0000-0000-000002000000}"/>
    <hyperlink ref="E10" r:id="rId4" display="http://www.sgcarmart.com/" xr:uid="{00000000-0004-0000-0000-000003000000}"/>
    <hyperlink ref="E11" r:id="rId5" display="http://www.heveaconnect.com/" xr:uid="{00000000-0004-0000-0000-000004000000}"/>
    <hyperlink ref="B15" r:id="rId6" xr:uid="{00000000-0004-0000-0000-000005000000}"/>
    <hyperlink ref="E29" r:id="rId7" display="https://www.holistics.io/" xr:uid="{00000000-0004-0000-0000-000006000000}"/>
    <hyperlink ref="E30" r:id="rId8" display="http://www.zenyum.com/" xr:uid="{00000000-0004-0000-0000-000007000000}"/>
    <hyperlink ref="E31" r:id="rId9" display="http://www.hreasily.com/" xr:uid="{00000000-0004-0000-0000-000008000000}"/>
    <hyperlink ref="E37" r:id="rId10" display="https://saisoncapital.com/" xr:uid="{00000000-0004-0000-0000-000009000000}"/>
    <hyperlink ref="E69" r:id="rId11" display="http://mamikos.com/" xr:uid="{00000000-0004-0000-0000-00000A000000}"/>
    <hyperlink ref="E86" r:id="rId12" display="http://sehatq.com/" xr:uid="{00000000-0004-0000-0000-00000B000000}"/>
    <hyperlink ref="E88" r:id="rId13" display="http://www.inmagine.com/" xr:uid="{00000000-0004-0000-0000-00000C000000}"/>
    <hyperlink ref="E103" r:id="rId14" display="http://shipper.id/" xr:uid="{00000000-0004-0000-0000-00000D000000}"/>
    <hyperlink ref="E117" r:id="rId15" display="http://telunjuk.com/" xr:uid="{00000000-0004-0000-0000-00000E000000}"/>
    <hyperlink ref="E161" r:id="rId16" display="http://storial.co/" xr:uid="{00000000-0004-0000-0000-00000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V1274"/>
  <sheetViews>
    <sheetView tabSelected="1" topLeftCell="B1078" workbookViewId="0">
      <selection activeCell="C46" sqref="C46"/>
    </sheetView>
  </sheetViews>
  <sheetFormatPr baseColWidth="10" defaultColWidth="14.5" defaultRowHeight="15.75" customHeight="1"/>
  <cols>
    <col min="1" max="1" width="53.6640625" hidden="1" customWidth="1"/>
    <col min="2" max="2" width="27.33203125" customWidth="1"/>
    <col min="3" max="3" width="30" customWidth="1"/>
    <col min="4" max="4" width="21.5" customWidth="1"/>
    <col min="5" max="5" width="61.1640625" customWidth="1"/>
    <col min="6" max="6" width="21.5" hidden="1" customWidth="1"/>
    <col min="7" max="8" width="21.5" customWidth="1"/>
    <col min="9" max="9" width="86" bestFit="1" customWidth="1"/>
    <col min="10" max="11" width="21.5" customWidth="1"/>
    <col min="12" max="12" width="255.83203125" bestFit="1" customWidth="1"/>
    <col min="13" max="14" width="21.5" customWidth="1"/>
    <col min="15" max="15" width="21.5" hidden="1" customWidth="1"/>
    <col min="16" max="22" width="21.5" customWidth="1"/>
  </cols>
  <sheetData>
    <row r="1" spans="1:22" ht="18">
      <c r="B1" s="3" t="str">
        <f>HYPERLINK("https://forms.gle/GBDo51t4C55fUgbK8","Add new talent posting here ")</f>
        <v xml:space="preserve">Add new talent posting here </v>
      </c>
      <c r="D1" s="5" t="s">
        <v>2</v>
      </c>
      <c r="E1" s="8">
        <f ca="1">IFERROR(__xludf.DUMMYFUNCTION("COUNTUNIQUE(B5:B1274)"),1244)</f>
        <v>1244</v>
      </c>
    </row>
    <row r="2" spans="1:22" ht="15.75" customHeight="1">
      <c r="B2" s="10" t="s">
        <v>4</v>
      </c>
      <c r="D2" s="5" t="s">
        <v>6</v>
      </c>
      <c r="E2" s="13">
        <f ca="1">IFERROR(__xludf.DUMMYFUNCTION("countunique(D5:D1274)"),824)</f>
        <v>824</v>
      </c>
      <c r="G2" s="15" t="s">
        <v>7</v>
      </c>
    </row>
    <row r="3" spans="1:22" ht="15.75" customHeight="1">
      <c r="E3" s="16"/>
    </row>
    <row r="4" spans="1:22" ht="33" customHeight="1">
      <c r="A4" s="18" t="s">
        <v>10</v>
      </c>
      <c r="B4" s="19" t="s">
        <v>11</v>
      </c>
      <c r="C4" s="19" t="s">
        <v>13</v>
      </c>
      <c r="D4" s="19" t="s">
        <v>14</v>
      </c>
      <c r="E4" s="21" t="s">
        <v>15</v>
      </c>
      <c r="F4" s="22" t="s">
        <v>16</v>
      </c>
      <c r="G4" s="19" t="s">
        <v>17</v>
      </c>
      <c r="H4" s="19" t="s">
        <v>18</v>
      </c>
      <c r="I4" s="19" t="s">
        <v>19</v>
      </c>
      <c r="J4" s="19" t="s">
        <v>20</v>
      </c>
      <c r="K4" s="19" t="s">
        <v>21</v>
      </c>
      <c r="L4" s="19" t="s">
        <v>22</v>
      </c>
      <c r="M4" s="22" t="s">
        <v>23</v>
      </c>
      <c r="N4" s="22" t="s">
        <v>24</v>
      </c>
      <c r="O4" s="22" t="s">
        <v>25</v>
      </c>
      <c r="P4" s="24" t="s">
        <v>26</v>
      </c>
      <c r="Q4" s="18"/>
      <c r="R4" s="18"/>
      <c r="S4" s="18"/>
      <c r="T4" s="18"/>
      <c r="U4" s="18"/>
      <c r="V4" s="18"/>
    </row>
    <row r="5" spans="1:22" ht="15.75" customHeight="1">
      <c r="A5" s="26">
        <v>43918.072299895837</v>
      </c>
      <c r="B5" s="328" t="s">
        <v>2833</v>
      </c>
      <c r="C5" s="328" t="s">
        <v>2834</v>
      </c>
      <c r="D5" s="328" t="s">
        <v>2836</v>
      </c>
      <c r="E5" s="38" t="s">
        <v>2837</v>
      </c>
      <c r="F5" s="328" t="s">
        <v>2841</v>
      </c>
      <c r="G5" s="328" t="s">
        <v>739</v>
      </c>
      <c r="H5" s="328" t="s">
        <v>33</v>
      </c>
      <c r="I5" s="328" t="s">
        <v>2842</v>
      </c>
      <c r="J5" s="328" t="s">
        <v>48</v>
      </c>
      <c r="K5" s="328" t="s">
        <v>2843</v>
      </c>
      <c r="L5" s="328" t="s">
        <v>2844</v>
      </c>
      <c r="M5" s="328" t="s">
        <v>83</v>
      </c>
      <c r="N5" s="327"/>
      <c r="O5" s="31"/>
      <c r="P5" s="31"/>
      <c r="Q5" s="31"/>
      <c r="R5" s="31"/>
      <c r="S5" s="31"/>
      <c r="T5" s="31"/>
      <c r="U5" s="31"/>
      <c r="V5" s="31"/>
    </row>
    <row r="6" spans="1:22" ht="15.75" hidden="1" customHeight="1">
      <c r="A6" s="33">
        <v>43921.828915879625</v>
      </c>
      <c r="B6" s="35" t="s">
        <v>38</v>
      </c>
      <c r="C6" s="35" t="s">
        <v>40</v>
      </c>
      <c r="D6" s="35" t="s">
        <v>41</v>
      </c>
      <c r="E6" s="38" t="s">
        <v>42</v>
      </c>
      <c r="F6" s="35" t="s">
        <v>44</v>
      </c>
      <c r="G6" s="35" t="s">
        <v>45</v>
      </c>
      <c r="H6" s="35" t="s">
        <v>46</v>
      </c>
      <c r="I6" s="35" t="s">
        <v>47</v>
      </c>
      <c r="J6" s="35" t="s">
        <v>48</v>
      </c>
    </row>
    <row r="7" spans="1:22" ht="15.75" hidden="1" customHeight="1">
      <c r="A7" s="33">
        <v>43921.882458611115</v>
      </c>
      <c r="B7" s="35" t="s">
        <v>49</v>
      </c>
      <c r="C7" s="35" t="s">
        <v>50</v>
      </c>
      <c r="D7" s="35" t="s">
        <v>52</v>
      </c>
      <c r="E7" s="38" t="s">
        <v>53</v>
      </c>
      <c r="F7" s="35" t="s">
        <v>62</v>
      </c>
      <c r="G7" s="35" t="s">
        <v>63</v>
      </c>
      <c r="H7" s="35" t="s">
        <v>46</v>
      </c>
      <c r="I7" s="35" t="s">
        <v>64</v>
      </c>
      <c r="J7" s="35" t="s">
        <v>48</v>
      </c>
      <c r="K7" s="35" t="s">
        <v>65</v>
      </c>
      <c r="L7" s="35" t="s">
        <v>66</v>
      </c>
      <c r="M7" s="35" t="s">
        <v>67</v>
      </c>
      <c r="N7" s="35" t="s">
        <v>68</v>
      </c>
      <c r="O7" s="44"/>
    </row>
    <row r="8" spans="1:22" ht="15.75" customHeight="1">
      <c r="A8" s="33">
        <v>43921.884294166666</v>
      </c>
      <c r="B8" s="309" t="s">
        <v>27</v>
      </c>
      <c r="C8" s="309" t="s">
        <v>28</v>
      </c>
      <c r="D8" s="309" t="s">
        <v>29</v>
      </c>
      <c r="E8" s="29" t="s">
        <v>30</v>
      </c>
      <c r="F8" s="309" t="s">
        <v>31</v>
      </c>
      <c r="G8" s="309" t="s">
        <v>32</v>
      </c>
      <c r="H8" s="309" t="s">
        <v>33</v>
      </c>
      <c r="I8" s="309" t="s">
        <v>34</v>
      </c>
      <c r="J8" s="309" t="s">
        <v>35</v>
      </c>
      <c r="K8" s="309" t="s">
        <v>36</v>
      </c>
      <c r="L8" s="309"/>
      <c r="M8" s="309"/>
      <c r="N8" s="309"/>
    </row>
    <row r="9" spans="1:22" ht="15.75" hidden="1" customHeight="1">
      <c r="A9" s="33">
        <v>43921.890836261577</v>
      </c>
      <c r="B9" s="35" t="s">
        <v>85</v>
      </c>
      <c r="C9" s="35" t="s">
        <v>86</v>
      </c>
      <c r="D9" s="35" t="s">
        <v>87</v>
      </c>
      <c r="E9" s="38" t="s">
        <v>88</v>
      </c>
      <c r="F9" s="35" t="s">
        <v>89</v>
      </c>
      <c r="G9" s="35" t="s">
        <v>32</v>
      </c>
      <c r="H9" s="35" t="s">
        <v>46</v>
      </c>
      <c r="I9" s="35" t="s">
        <v>90</v>
      </c>
      <c r="J9" s="35" t="s">
        <v>48</v>
      </c>
      <c r="K9" s="35" t="s">
        <v>91</v>
      </c>
      <c r="M9" s="35" t="s">
        <v>67</v>
      </c>
      <c r="N9" s="35" t="s">
        <v>92</v>
      </c>
      <c r="O9" s="44"/>
    </row>
    <row r="10" spans="1:22" ht="15.75" hidden="1" customHeight="1">
      <c r="A10" s="33">
        <v>43921.894669699075</v>
      </c>
      <c r="B10" s="35" t="s">
        <v>93</v>
      </c>
      <c r="C10" s="35" t="s">
        <v>94</v>
      </c>
      <c r="D10" s="35" t="s">
        <v>96</v>
      </c>
      <c r="E10" s="38" t="s">
        <v>99</v>
      </c>
      <c r="F10" s="35" t="s">
        <v>101</v>
      </c>
      <c r="G10" s="35" t="s">
        <v>102</v>
      </c>
      <c r="H10" s="35" t="s">
        <v>46</v>
      </c>
      <c r="I10" s="35" t="s">
        <v>103</v>
      </c>
      <c r="J10" s="35" t="s">
        <v>104</v>
      </c>
      <c r="K10" s="35" t="s">
        <v>105</v>
      </c>
      <c r="L10" s="35" t="s">
        <v>106</v>
      </c>
      <c r="M10" s="35" t="s">
        <v>67</v>
      </c>
      <c r="N10" s="35" t="s">
        <v>107</v>
      </c>
      <c r="O10" s="44"/>
    </row>
    <row r="11" spans="1:22" ht="15.75" hidden="1" customHeight="1">
      <c r="A11" s="33">
        <v>43921.914829780093</v>
      </c>
      <c r="B11" s="35" t="s">
        <v>109</v>
      </c>
      <c r="C11" s="35" t="s">
        <v>110</v>
      </c>
      <c r="D11" s="35" t="s">
        <v>111</v>
      </c>
      <c r="E11" s="38" t="s">
        <v>113</v>
      </c>
      <c r="F11" s="35" t="s">
        <v>117</v>
      </c>
      <c r="G11" s="35" t="s">
        <v>118</v>
      </c>
      <c r="H11" s="35" t="s">
        <v>46</v>
      </c>
      <c r="I11" s="35" t="s">
        <v>119</v>
      </c>
      <c r="J11" s="35" t="s">
        <v>48</v>
      </c>
      <c r="M11" s="35" t="s">
        <v>67</v>
      </c>
    </row>
    <row r="12" spans="1:22" ht="15.75" hidden="1" customHeight="1">
      <c r="A12" s="33">
        <v>43921.932187083337</v>
      </c>
      <c r="B12" s="35" t="s">
        <v>120</v>
      </c>
      <c r="C12" s="35" t="s">
        <v>121</v>
      </c>
      <c r="D12" s="35" t="s">
        <v>122</v>
      </c>
      <c r="E12" s="38" t="s">
        <v>123</v>
      </c>
      <c r="F12" s="35" t="s">
        <v>125</v>
      </c>
      <c r="G12" s="35" t="s">
        <v>32</v>
      </c>
      <c r="H12" s="35" t="s">
        <v>126</v>
      </c>
      <c r="I12" s="35" t="s">
        <v>127</v>
      </c>
      <c r="J12" s="35" t="s">
        <v>48</v>
      </c>
      <c r="K12" s="35" t="s">
        <v>128</v>
      </c>
      <c r="L12" s="35" t="s">
        <v>129</v>
      </c>
      <c r="M12" s="35" t="s">
        <v>83</v>
      </c>
      <c r="N12" s="35" t="s">
        <v>130</v>
      </c>
      <c r="O12" s="44"/>
    </row>
    <row r="13" spans="1:22" ht="15.75" hidden="1" customHeight="1">
      <c r="A13" s="33">
        <v>43921.963789652778</v>
      </c>
      <c r="B13" s="35" t="s">
        <v>131</v>
      </c>
      <c r="C13" s="35" t="s">
        <v>132</v>
      </c>
      <c r="D13" s="35" t="s">
        <v>133</v>
      </c>
      <c r="E13" s="38" t="s">
        <v>135</v>
      </c>
      <c r="F13" s="35" t="s">
        <v>140</v>
      </c>
      <c r="G13" s="35" t="s">
        <v>141</v>
      </c>
      <c r="H13" s="35" t="s">
        <v>46</v>
      </c>
      <c r="I13" s="35" t="s">
        <v>142</v>
      </c>
      <c r="J13" s="35" t="s">
        <v>35</v>
      </c>
      <c r="K13" s="35" t="s">
        <v>144</v>
      </c>
      <c r="M13" s="35" t="s">
        <v>83</v>
      </c>
      <c r="N13" s="35" t="s">
        <v>68</v>
      </c>
      <c r="O13" s="44"/>
    </row>
    <row r="14" spans="1:22" ht="15.75" hidden="1" customHeight="1">
      <c r="A14" s="33">
        <v>43921.977048460649</v>
      </c>
      <c r="B14" s="35" t="s">
        <v>145</v>
      </c>
      <c r="C14" s="35" t="s">
        <v>146</v>
      </c>
      <c r="D14" s="35" t="s">
        <v>147</v>
      </c>
      <c r="E14" s="38" t="s">
        <v>148</v>
      </c>
      <c r="F14" s="35" t="s">
        <v>149</v>
      </c>
      <c r="G14" s="35" t="s">
        <v>150</v>
      </c>
      <c r="H14" s="35" t="s">
        <v>46</v>
      </c>
      <c r="I14" s="35" t="s">
        <v>151</v>
      </c>
      <c r="J14" s="35" t="s">
        <v>35</v>
      </c>
      <c r="K14" s="35" t="s">
        <v>152</v>
      </c>
      <c r="L14" s="35" t="s">
        <v>153</v>
      </c>
      <c r="M14" s="35" t="s">
        <v>83</v>
      </c>
      <c r="N14" s="35" t="s">
        <v>154</v>
      </c>
      <c r="O14" s="44"/>
    </row>
    <row r="15" spans="1:22" ht="15.75" hidden="1" customHeight="1">
      <c r="A15" s="33">
        <v>43921.980619699076</v>
      </c>
      <c r="B15" s="35" t="s">
        <v>157</v>
      </c>
      <c r="C15" s="35" t="s">
        <v>158</v>
      </c>
      <c r="D15" s="35" t="s">
        <v>159</v>
      </c>
      <c r="E15" s="38" t="s">
        <v>160</v>
      </c>
      <c r="F15" s="35" t="s">
        <v>163</v>
      </c>
      <c r="G15" s="35" t="s">
        <v>165</v>
      </c>
      <c r="H15" s="35" t="s">
        <v>46</v>
      </c>
      <c r="I15" s="35" t="s">
        <v>167</v>
      </c>
      <c r="J15" s="35" t="s">
        <v>81</v>
      </c>
      <c r="K15" s="35" t="s">
        <v>168</v>
      </c>
      <c r="M15" s="35" t="s">
        <v>83</v>
      </c>
      <c r="N15" s="35" t="s">
        <v>170</v>
      </c>
      <c r="O15" s="44"/>
    </row>
    <row r="16" spans="1:22" ht="15.75" hidden="1" customHeight="1">
      <c r="A16" s="33">
        <v>43921.988439386572</v>
      </c>
      <c r="B16" s="35" t="s">
        <v>172</v>
      </c>
      <c r="C16" s="35" t="s">
        <v>174</v>
      </c>
      <c r="D16" s="35" t="s">
        <v>175</v>
      </c>
      <c r="E16" s="38" t="s">
        <v>176</v>
      </c>
      <c r="F16" s="35" t="s">
        <v>177</v>
      </c>
      <c r="G16" s="35" t="s">
        <v>178</v>
      </c>
      <c r="H16" s="35" t="s">
        <v>46</v>
      </c>
      <c r="I16" s="35" t="s">
        <v>179</v>
      </c>
      <c r="J16" s="35" t="s">
        <v>81</v>
      </c>
      <c r="M16" s="35" t="s">
        <v>67</v>
      </c>
      <c r="N16" s="35" t="s">
        <v>180</v>
      </c>
      <c r="O16" s="44"/>
    </row>
    <row r="17" spans="1:15" ht="15.75" hidden="1" customHeight="1">
      <c r="A17" s="33">
        <v>43921.990660451389</v>
      </c>
      <c r="B17" s="35" t="s">
        <v>181</v>
      </c>
      <c r="C17" s="35" t="s">
        <v>182</v>
      </c>
      <c r="D17" s="35" t="s">
        <v>183</v>
      </c>
      <c r="E17" s="38" t="s">
        <v>184</v>
      </c>
      <c r="F17" s="35" t="s">
        <v>187</v>
      </c>
      <c r="G17" s="35" t="s">
        <v>188</v>
      </c>
      <c r="H17" s="35" t="s">
        <v>189</v>
      </c>
      <c r="I17" s="35" t="s">
        <v>190</v>
      </c>
      <c r="J17" s="35" t="s">
        <v>48</v>
      </c>
      <c r="K17" s="35" t="s">
        <v>192</v>
      </c>
      <c r="L17" s="35" t="s">
        <v>193</v>
      </c>
      <c r="M17" s="35" t="s">
        <v>83</v>
      </c>
      <c r="N17" s="35" t="s">
        <v>194</v>
      </c>
      <c r="O17" s="44"/>
    </row>
    <row r="18" spans="1:15" ht="15.75" hidden="1" customHeight="1">
      <c r="A18" s="33">
        <v>43922.002463182871</v>
      </c>
      <c r="B18" s="35" t="s">
        <v>195</v>
      </c>
      <c r="C18" s="35" t="s">
        <v>196</v>
      </c>
      <c r="D18" s="38" t="s">
        <v>197</v>
      </c>
      <c r="E18" s="38" t="s">
        <v>203</v>
      </c>
      <c r="F18" s="35" t="s">
        <v>205</v>
      </c>
      <c r="G18" s="35" t="s">
        <v>206</v>
      </c>
      <c r="H18" s="35" t="s">
        <v>46</v>
      </c>
      <c r="I18" s="35" t="s">
        <v>207</v>
      </c>
      <c r="J18" s="35" t="s">
        <v>48</v>
      </c>
      <c r="K18" s="35" t="s">
        <v>208</v>
      </c>
      <c r="M18" s="35" t="s">
        <v>67</v>
      </c>
      <c r="N18" s="35" t="s">
        <v>209</v>
      </c>
      <c r="O18" s="44"/>
    </row>
    <row r="19" spans="1:15" ht="15.75" hidden="1" customHeight="1">
      <c r="A19" s="33">
        <v>43922.017067175926</v>
      </c>
      <c r="B19" s="35" t="s">
        <v>210</v>
      </c>
      <c r="C19" s="35" t="s">
        <v>211</v>
      </c>
      <c r="D19" s="35" t="s">
        <v>212</v>
      </c>
      <c r="E19" s="38" t="s">
        <v>213</v>
      </c>
      <c r="F19" s="35" t="s">
        <v>219</v>
      </c>
      <c r="G19" s="35" t="s">
        <v>220</v>
      </c>
      <c r="H19" s="35" t="s">
        <v>46</v>
      </c>
      <c r="I19" s="35" t="s">
        <v>222</v>
      </c>
      <c r="J19" s="35" t="s">
        <v>48</v>
      </c>
      <c r="M19" s="35" t="s">
        <v>67</v>
      </c>
    </row>
    <row r="20" spans="1:15" ht="15.75" hidden="1" customHeight="1">
      <c r="A20" s="33">
        <v>43922.032613506948</v>
      </c>
      <c r="B20" s="35" t="s">
        <v>223</v>
      </c>
      <c r="C20" s="35" t="s">
        <v>224</v>
      </c>
      <c r="D20" s="35" t="s">
        <v>225</v>
      </c>
      <c r="E20" s="38" t="s">
        <v>226</v>
      </c>
      <c r="F20" s="35" t="s">
        <v>227</v>
      </c>
      <c r="G20" s="35" t="s">
        <v>228</v>
      </c>
      <c r="H20" s="35" t="s">
        <v>46</v>
      </c>
      <c r="I20" s="35" t="s">
        <v>229</v>
      </c>
      <c r="J20" s="35" t="s">
        <v>35</v>
      </c>
      <c r="K20" s="35" t="s">
        <v>230</v>
      </c>
      <c r="M20" s="35" t="s">
        <v>67</v>
      </c>
      <c r="N20" s="35" t="s">
        <v>231</v>
      </c>
      <c r="O20" s="44"/>
    </row>
    <row r="21" spans="1:15" ht="15.75" customHeight="1">
      <c r="A21" s="33">
        <v>43922.039822777777</v>
      </c>
      <c r="B21" s="35" t="s">
        <v>4917</v>
      </c>
      <c r="C21" s="35" t="s">
        <v>28</v>
      </c>
      <c r="D21" s="35" t="s">
        <v>4918</v>
      </c>
      <c r="E21" s="38" t="s">
        <v>4919</v>
      </c>
      <c r="F21" s="35" t="s">
        <v>4923</v>
      </c>
      <c r="G21" s="35" t="s">
        <v>32</v>
      </c>
      <c r="H21" s="35" t="s">
        <v>33</v>
      </c>
      <c r="I21" s="35" t="s">
        <v>425</v>
      </c>
      <c r="J21" s="35" t="s">
        <v>35</v>
      </c>
      <c r="K21" s="327"/>
      <c r="L21" s="327"/>
      <c r="M21" s="35" t="s">
        <v>83</v>
      </c>
    </row>
    <row r="22" spans="1:15" ht="15.75" hidden="1" customHeight="1">
      <c r="A22" s="33">
        <v>43922.061225925921</v>
      </c>
      <c r="B22" s="35" t="s">
        <v>245</v>
      </c>
      <c r="C22" s="35" t="s">
        <v>246</v>
      </c>
      <c r="D22" s="35" t="s">
        <v>247</v>
      </c>
      <c r="E22" s="38" t="s">
        <v>248</v>
      </c>
      <c r="F22" s="35" t="s">
        <v>252</v>
      </c>
      <c r="G22" s="35" t="s">
        <v>161</v>
      </c>
      <c r="H22" s="35" t="s">
        <v>46</v>
      </c>
      <c r="I22" s="35" t="s">
        <v>253</v>
      </c>
      <c r="J22" s="35" t="s">
        <v>81</v>
      </c>
      <c r="M22" s="35" t="s">
        <v>83</v>
      </c>
      <c r="N22" s="35" t="s">
        <v>255</v>
      </c>
      <c r="O22" s="44"/>
    </row>
    <row r="23" spans="1:15" ht="15.75" hidden="1" customHeight="1">
      <c r="A23" s="33">
        <v>43922.064059675926</v>
      </c>
      <c r="B23" s="35" t="s">
        <v>256</v>
      </c>
      <c r="C23" s="35" t="s">
        <v>162</v>
      </c>
      <c r="D23" s="35" t="s">
        <v>258</v>
      </c>
      <c r="E23" s="38" t="s">
        <v>259</v>
      </c>
      <c r="F23" s="35" t="s">
        <v>260</v>
      </c>
      <c r="G23" s="35" t="s">
        <v>261</v>
      </c>
      <c r="H23" s="35" t="s">
        <v>262</v>
      </c>
      <c r="I23" s="35" t="s">
        <v>263</v>
      </c>
      <c r="J23" s="35" t="s">
        <v>35</v>
      </c>
      <c r="M23" s="35" t="s">
        <v>83</v>
      </c>
      <c r="N23" s="35" t="s">
        <v>264</v>
      </c>
      <c r="O23" s="44"/>
    </row>
    <row r="24" spans="1:15" ht="15.75" hidden="1" customHeight="1">
      <c r="A24" s="33">
        <v>43922.065902476854</v>
      </c>
      <c r="B24" s="35" t="s">
        <v>265</v>
      </c>
      <c r="C24" s="35" t="s">
        <v>267</v>
      </c>
      <c r="D24" s="35" t="s">
        <v>268</v>
      </c>
      <c r="E24" s="38" t="s">
        <v>269</v>
      </c>
      <c r="F24" s="35" t="s">
        <v>277</v>
      </c>
      <c r="G24" s="35" t="s">
        <v>278</v>
      </c>
      <c r="H24" s="35" t="s">
        <v>46</v>
      </c>
      <c r="I24" s="35" t="s">
        <v>279</v>
      </c>
      <c r="J24" s="35" t="s">
        <v>35</v>
      </c>
      <c r="M24" s="35" t="s">
        <v>83</v>
      </c>
      <c r="N24" s="35" t="s">
        <v>280</v>
      </c>
      <c r="O24" s="44"/>
    </row>
    <row r="25" spans="1:15" ht="15.75" hidden="1" customHeight="1">
      <c r="A25" s="33">
        <v>43922.066047326385</v>
      </c>
      <c r="B25" s="35" t="s">
        <v>281</v>
      </c>
      <c r="C25" s="35" t="s">
        <v>282</v>
      </c>
      <c r="D25" s="35" t="s">
        <v>283</v>
      </c>
      <c r="E25" s="38" t="s">
        <v>284</v>
      </c>
      <c r="F25" s="35" t="s">
        <v>286</v>
      </c>
      <c r="G25" s="35" t="s">
        <v>288</v>
      </c>
      <c r="H25" s="35" t="s">
        <v>46</v>
      </c>
      <c r="I25" s="35" t="s">
        <v>289</v>
      </c>
      <c r="J25" s="35" t="s">
        <v>35</v>
      </c>
      <c r="K25" s="35" t="s">
        <v>289</v>
      </c>
      <c r="M25" s="35" t="s">
        <v>83</v>
      </c>
      <c r="N25" s="35" t="s">
        <v>291</v>
      </c>
      <c r="O25" s="44"/>
    </row>
    <row r="26" spans="1:15" ht="15.75" hidden="1" customHeight="1">
      <c r="A26" s="33">
        <v>43922.071423564819</v>
      </c>
      <c r="B26" s="35" t="s">
        <v>292</v>
      </c>
      <c r="C26" s="35" t="s">
        <v>293</v>
      </c>
      <c r="D26" s="35" t="s">
        <v>294</v>
      </c>
      <c r="E26" s="38" t="s">
        <v>295</v>
      </c>
      <c r="F26" s="35" t="s">
        <v>301</v>
      </c>
      <c r="G26" s="35" t="s">
        <v>303</v>
      </c>
      <c r="H26" s="35" t="s">
        <v>46</v>
      </c>
      <c r="I26" s="35" t="s">
        <v>304</v>
      </c>
      <c r="J26" s="35" t="s">
        <v>305</v>
      </c>
      <c r="M26" s="35" t="s">
        <v>67</v>
      </c>
    </row>
    <row r="27" spans="1:15" ht="15.75" hidden="1" customHeight="1">
      <c r="A27" s="33">
        <v>43922.074160092598</v>
      </c>
      <c r="B27" s="35" t="s">
        <v>306</v>
      </c>
      <c r="C27" s="35" t="s">
        <v>307</v>
      </c>
      <c r="D27" s="35" t="s">
        <v>308</v>
      </c>
      <c r="E27" s="38" t="s">
        <v>309</v>
      </c>
      <c r="F27" s="35" t="s">
        <v>311</v>
      </c>
      <c r="G27" s="35" t="s">
        <v>312</v>
      </c>
      <c r="H27" s="35" t="s">
        <v>46</v>
      </c>
      <c r="I27" s="35" t="s">
        <v>313</v>
      </c>
      <c r="J27" s="35" t="s">
        <v>35</v>
      </c>
      <c r="K27" s="35" t="s">
        <v>314</v>
      </c>
      <c r="M27" s="35" t="s">
        <v>67</v>
      </c>
      <c r="N27" s="35" t="s">
        <v>315</v>
      </c>
      <c r="O27" s="44"/>
    </row>
    <row r="28" spans="1:15" ht="15.75" hidden="1" customHeight="1">
      <c r="A28" s="33">
        <v>43922.080083298613</v>
      </c>
      <c r="B28" s="35" t="s">
        <v>316</v>
      </c>
      <c r="C28" s="35" t="s">
        <v>317</v>
      </c>
      <c r="D28" s="35" t="s">
        <v>318</v>
      </c>
      <c r="E28" s="38" t="s">
        <v>319</v>
      </c>
      <c r="F28" s="35" t="s">
        <v>321</v>
      </c>
      <c r="G28" s="35" t="s">
        <v>322</v>
      </c>
      <c r="H28" s="35" t="s">
        <v>46</v>
      </c>
      <c r="I28" s="35" t="s">
        <v>323</v>
      </c>
      <c r="J28" s="35" t="s">
        <v>48</v>
      </c>
      <c r="M28" s="35" t="s">
        <v>83</v>
      </c>
      <c r="N28" s="35" t="s">
        <v>325</v>
      </c>
      <c r="O28" s="44"/>
    </row>
    <row r="29" spans="1:15" ht="15.75" hidden="1" customHeight="1">
      <c r="A29" s="33">
        <v>43922.08665114583</v>
      </c>
      <c r="B29" s="35" t="s">
        <v>327</v>
      </c>
      <c r="C29" s="35" t="s">
        <v>328</v>
      </c>
      <c r="D29" s="35" t="s">
        <v>329</v>
      </c>
      <c r="E29" s="38" t="s">
        <v>330</v>
      </c>
      <c r="F29" s="35" t="s">
        <v>335</v>
      </c>
      <c r="G29" s="35" t="s">
        <v>336</v>
      </c>
      <c r="H29" s="35" t="s">
        <v>46</v>
      </c>
      <c r="I29" s="35" t="s">
        <v>337</v>
      </c>
      <c r="J29" s="35" t="s">
        <v>48</v>
      </c>
      <c r="M29" s="35" t="s">
        <v>67</v>
      </c>
    </row>
    <row r="30" spans="1:15" ht="15.75" hidden="1" customHeight="1">
      <c r="A30" s="33">
        <v>43922.091489363425</v>
      </c>
      <c r="B30" s="35" t="s">
        <v>338</v>
      </c>
      <c r="C30" s="35" t="s">
        <v>339</v>
      </c>
      <c r="D30" s="35" t="s">
        <v>340</v>
      </c>
      <c r="E30" s="38" t="s">
        <v>341</v>
      </c>
      <c r="F30" s="35" t="s">
        <v>343</v>
      </c>
      <c r="G30" s="35" t="s">
        <v>344</v>
      </c>
      <c r="H30" s="35" t="s">
        <v>46</v>
      </c>
      <c r="I30" s="35" t="s">
        <v>345</v>
      </c>
      <c r="J30" s="35" t="s">
        <v>48</v>
      </c>
      <c r="M30" s="35" t="s">
        <v>67</v>
      </c>
      <c r="N30" s="35" t="s">
        <v>68</v>
      </c>
      <c r="O30" s="44"/>
    </row>
    <row r="31" spans="1:15" ht="15.75" customHeight="1">
      <c r="A31" s="33">
        <v>43922.096875914351</v>
      </c>
      <c r="B31" s="35" t="s">
        <v>3049</v>
      </c>
      <c r="C31" s="35" t="s">
        <v>3050</v>
      </c>
      <c r="D31" s="35" t="s">
        <v>3051</v>
      </c>
      <c r="E31" s="38" t="s">
        <v>3053</v>
      </c>
      <c r="F31" s="35" t="s">
        <v>3059</v>
      </c>
      <c r="G31" s="35" t="s">
        <v>3060</v>
      </c>
      <c r="H31" s="35" t="s">
        <v>33</v>
      </c>
      <c r="I31" s="35" t="s">
        <v>3061</v>
      </c>
      <c r="J31" s="35" t="s">
        <v>35</v>
      </c>
      <c r="K31" s="327"/>
      <c r="M31" s="35" t="s">
        <v>67</v>
      </c>
    </row>
    <row r="32" spans="1:15" ht="15.75" hidden="1" customHeight="1">
      <c r="A32" s="33">
        <v>43922.097436064811</v>
      </c>
      <c r="B32" s="35" t="s">
        <v>353</v>
      </c>
      <c r="C32" s="35" t="s">
        <v>354</v>
      </c>
      <c r="D32" s="35" t="s">
        <v>355</v>
      </c>
      <c r="E32" s="38" t="s">
        <v>356</v>
      </c>
      <c r="F32" s="35" t="s">
        <v>361</v>
      </c>
      <c r="G32" s="35" t="s">
        <v>363</v>
      </c>
      <c r="H32" s="35" t="s">
        <v>46</v>
      </c>
      <c r="I32" s="35" t="s">
        <v>364</v>
      </c>
      <c r="J32" s="35" t="s">
        <v>104</v>
      </c>
      <c r="K32" s="35" t="s">
        <v>365</v>
      </c>
      <c r="M32" s="35" t="s">
        <v>83</v>
      </c>
      <c r="N32" s="35" t="s">
        <v>68</v>
      </c>
      <c r="O32" s="44"/>
    </row>
    <row r="33" spans="1:15" ht="15.75" hidden="1" customHeight="1">
      <c r="A33" s="33">
        <v>43922.103997789352</v>
      </c>
      <c r="B33" s="35" t="s">
        <v>367</v>
      </c>
      <c r="C33" s="35" t="s">
        <v>369</v>
      </c>
      <c r="D33" s="35" t="s">
        <v>370</v>
      </c>
      <c r="E33" s="38" t="s">
        <v>371</v>
      </c>
      <c r="F33" s="35" t="s">
        <v>373</v>
      </c>
      <c r="G33" s="35" t="s">
        <v>374</v>
      </c>
      <c r="H33" s="35" t="s">
        <v>46</v>
      </c>
      <c r="I33" s="35" t="s">
        <v>375</v>
      </c>
      <c r="J33" s="35" t="s">
        <v>81</v>
      </c>
      <c r="K33" s="35" t="s">
        <v>376</v>
      </c>
      <c r="L33" s="35" t="s">
        <v>377</v>
      </c>
      <c r="M33" s="35" t="s">
        <v>83</v>
      </c>
      <c r="N33" s="35" t="s">
        <v>378</v>
      </c>
      <c r="O33" s="44"/>
    </row>
    <row r="34" spans="1:15" ht="15.75" hidden="1" customHeight="1">
      <c r="A34" s="33">
        <v>43922.137292245374</v>
      </c>
      <c r="B34" s="35" t="s">
        <v>379</v>
      </c>
      <c r="C34" s="35" t="s">
        <v>380</v>
      </c>
      <c r="D34" s="35" t="s">
        <v>381</v>
      </c>
      <c r="E34" s="38" t="s">
        <v>382</v>
      </c>
      <c r="F34" s="35" t="s">
        <v>385</v>
      </c>
      <c r="G34" s="35" t="s">
        <v>386</v>
      </c>
      <c r="H34" s="35" t="s">
        <v>387</v>
      </c>
      <c r="I34" s="35" t="s">
        <v>388</v>
      </c>
      <c r="J34" s="35" t="s">
        <v>35</v>
      </c>
      <c r="M34" s="35" t="s">
        <v>83</v>
      </c>
    </row>
    <row r="35" spans="1:15" ht="15.75" hidden="1" customHeight="1">
      <c r="A35" s="33">
        <v>43922.137619259258</v>
      </c>
      <c r="B35" s="35" t="s">
        <v>389</v>
      </c>
      <c r="C35" s="35" t="s">
        <v>390</v>
      </c>
      <c r="D35" s="35" t="s">
        <v>391</v>
      </c>
      <c r="E35" s="38" t="s">
        <v>392</v>
      </c>
      <c r="F35" s="35" t="s">
        <v>397</v>
      </c>
      <c r="G35" s="35" t="s">
        <v>398</v>
      </c>
      <c r="H35" s="35" t="s">
        <v>399</v>
      </c>
      <c r="I35" s="35" t="s">
        <v>400</v>
      </c>
      <c r="J35" s="35" t="s">
        <v>35</v>
      </c>
      <c r="K35" s="35" t="s">
        <v>401</v>
      </c>
      <c r="M35" s="35" t="s">
        <v>83</v>
      </c>
    </row>
    <row r="36" spans="1:15" ht="15.75" hidden="1" customHeight="1">
      <c r="A36" s="33">
        <v>43922.141616076391</v>
      </c>
      <c r="B36" s="35" t="s">
        <v>402</v>
      </c>
      <c r="C36" s="35" t="s">
        <v>40</v>
      </c>
      <c r="D36" s="35" t="s">
        <v>404</v>
      </c>
      <c r="E36" s="38" t="s">
        <v>406</v>
      </c>
      <c r="F36" s="35" t="s">
        <v>410</v>
      </c>
      <c r="G36" s="35" t="s">
        <v>411</v>
      </c>
      <c r="H36" s="35" t="s">
        <v>387</v>
      </c>
      <c r="I36" s="35" t="s">
        <v>412</v>
      </c>
      <c r="J36" s="35" t="s">
        <v>35</v>
      </c>
      <c r="K36" s="35" t="s">
        <v>413</v>
      </c>
      <c r="L36" s="35" t="s">
        <v>414</v>
      </c>
      <c r="M36" s="35" t="s">
        <v>83</v>
      </c>
      <c r="N36" s="35" t="s">
        <v>415</v>
      </c>
      <c r="O36" s="44"/>
    </row>
    <row r="37" spans="1:15" ht="15.75" hidden="1" customHeight="1">
      <c r="A37" s="33">
        <v>43922.149311053239</v>
      </c>
      <c r="B37" s="35" t="s">
        <v>417</v>
      </c>
      <c r="C37" s="35" t="s">
        <v>418</v>
      </c>
      <c r="D37" s="35" t="s">
        <v>420</v>
      </c>
      <c r="E37" s="38" t="s">
        <v>421</v>
      </c>
      <c r="F37" s="35" t="s">
        <v>423</v>
      </c>
      <c r="G37" s="35" t="s">
        <v>424</v>
      </c>
      <c r="H37" s="35" t="s">
        <v>46</v>
      </c>
      <c r="I37" s="35" t="s">
        <v>425</v>
      </c>
      <c r="J37" s="35" t="s">
        <v>104</v>
      </c>
      <c r="K37" s="35" t="s">
        <v>426</v>
      </c>
      <c r="L37" s="35" t="s">
        <v>427</v>
      </c>
      <c r="M37" s="35" t="s">
        <v>83</v>
      </c>
      <c r="N37" s="35" t="s">
        <v>428</v>
      </c>
      <c r="O37" s="44"/>
    </row>
    <row r="38" spans="1:15" ht="15.75" hidden="1" customHeight="1">
      <c r="A38" s="33">
        <v>43922.160759953702</v>
      </c>
      <c r="B38" s="35" t="s">
        <v>429</v>
      </c>
      <c r="C38" s="35" t="s">
        <v>430</v>
      </c>
      <c r="D38" s="35" t="s">
        <v>431</v>
      </c>
      <c r="E38" s="38" t="s">
        <v>432</v>
      </c>
      <c r="F38" s="35" t="s">
        <v>441</v>
      </c>
      <c r="G38" s="35" t="s">
        <v>32</v>
      </c>
      <c r="H38" s="35" t="s">
        <v>46</v>
      </c>
      <c r="I38" s="35" t="s">
        <v>442</v>
      </c>
      <c r="J38" s="35" t="s">
        <v>35</v>
      </c>
      <c r="M38" s="35" t="s">
        <v>83</v>
      </c>
      <c r="N38" s="35" t="s">
        <v>443</v>
      </c>
      <c r="O38" s="44"/>
    </row>
    <row r="39" spans="1:15" ht="15.75" hidden="1" customHeight="1">
      <c r="A39" s="33">
        <v>43922.16203039352</v>
      </c>
      <c r="B39" s="35" t="s">
        <v>444</v>
      </c>
      <c r="C39" s="35" t="s">
        <v>445</v>
      </c>
      <c r="D39" s="35" t="s">
        <v>446</v>
      </c>
      <c r="E39" s="38" t="s">
        <v>447</v>
      </c>
      <c r="F39" s="35" t="s">
        <v>451</v>
      </c>
      <c r="G39" s="35" t="s">
        <v>452</v>
      </c>
      <c r="H39" s="35" t="s">
        <v>46</v>
      </c>
      <c r="I39" s="35" t="s">
        <v>453</v>
      </c>
      <c r="J39" s="35" t="s">
        <v>35</v>
      </c>
      <c r="K39" s="35" t="s">
        <v>454</v>
      </c>
      <c r="M39" s="35" t="s">
        <v>83</v>
      </c>
      <c r="N39" s="35" t="s">
        <v>455</v>
      </c>
      <c r="O39" s="44"/>
    </row>
    <row r="40" spans="1:15" ht="15.75" hidden="1" customHeight="1">
      <c r="A40" s="33">
        <v>43922.16257836805</v>
      </c>
      <c r="B40" s="35" t="s">
        <v>456</v>
      </c>
      <c r="C40" s="35" t="s">
        <v>457</v>
      </c>
      <c r="D40" s="35" t="s">
        <v>391</v>
      </c>
      <c r="E40" s="38" t="s">
        <v>458</v>
      </c>
      <c r="F40" s="35" t="s">
        <v>462</v>
      </c>
      <c r="G40" s="35" t="s">
        <v>463</v>
      </c>
      <c r="H40" s="35" t="s">
        <v>399</v>
      </c>
      <c r="I40" s="35" t="s">
        <v>464</v>
      </c>
      <c r="J40" s="35" t="s">
        <v>35</v>
      </c>
      <c r="K40" s="35" t="s">
        <v>465</v>
      </c>
      <c r="M40" s="35" t="s">
        <v>83</v>
      </c>
    </row>
    <row r="41" spans="1:15" ht="15.75" hidden="1" customHeight="1">
      <c r="A41" s="33">
        <v>43922.195223298608</v>
      </c>
      <c r="B41" s="35" t="s">
        <v>466</v>
      </c>
      <c r="C41" s="35" t="s">
        <v>467</v>
      </c>
      <c r="D41" s="35" t="s">
        <v>468</v>
      </c>
      <c r="E41" s="38" t="s">
        <v>469</v>
      </c>
      <c r="F41" s="35" t="s">
        <v>472</v>
      </c>
      <c r="G41" s="35" t="s">
        <v>473</v>
      </c>
      <c r="H41" s="35" t="s">
        <v>126</v>
      </c>
      <c r="I41" s="35" t="s">
        <v>474</v>
      </c>
      <c r="J41" s="35" t="s">
        <v>104</v>
      </c>
      <c r="K41" s="35" t="s">
        <v>475</v>
      </c>
      <c r="M41" s="35" t="s">
        <v>67</v>
      </c>
    </row>
    <row r="42" spans="1:15" ht="15.75" hidden="1" customHeight="1">
      <c r="A42" s="33">
        <v>43922.19574195602</v>
      </c>
      <c r="B42" s="35" t="s">
        <v>476</v>
      </c>
      <c r="C42" s="35" t="s">
        <v>477</v>
      </c>
      <c r="D42" s="35" t="s">
        <v>479</v>
      </c>
      <c r="E42" s="38" t="s">
        <v>480</v>
      </c>
      <c r="F42" s="35" t="s">
        <v>483</v>
      </c>
      <c r="G42" s="35" t="s">
        <v>32</v>
      </c>
      <c r="H42" s="35" t="s">
        <v>484</v>
      </c>
      <c r="I42" s="35" t="s">
        <v>485</v>
      </c>
      <c r="J42" s="35" t="s">
        <v>48</v>
      </c>
      <c r="K42" s="35" t="s">
        <v>486</v>
      </c>
      <c r="L42" s="35" t="s">
        <v>487</v>
      </c>
      <c r="M42" s="35" t="s">
        <v>83</v>
      </c>
      <c r="N42" s="35" t="s">
        <v>488</v>
      </c>
      <c r="O42" s="44"/>
    </row>
    <row r="43" spans="1:15" ht="15.75" hidden="1" customHeight="1">
      <c r="A43" s="33">
        <v>43922.204794594909</v>
      </c>
      <c r="B43" s="35" t="s">
        <v>489</v>
      </c>
      <c r="C43" s="35" t="s">
        <v>490</v>
      </c>
      <c r="D43" s="35" t="s">
        <v>491</v>
      </c>
      <c r="E43" s="38" t="s">
        <v>492</v>
      </c>
      <c r="F43" s="35" t="s">
        <v>494</v>
      </c>
      <c r="G43" s="35" t="s">
        <v>45</v>
      </c>
      <c r="H43" s="35" t="s">
        <v>126</v>
      </c>
      <c r="I43" s="35" t="s">
        <v>496</v>
      </c>
      <c r="J43" s="35" t="s">
        <v>48</v>
      </c>
      <c r="K43" s="35" t="s">
        <v>497</v>
      </c>
      <c r="L43" s="35" t="s">
        <v>499</v>
      </c>
      <c r="M43" s="35" t="s">
        <v>83</v>
      </c>
      <c r="N43" s="35" t="s">
        <v>500</v>
      </c>
      <c r="O43" s="44"/>
    </row>
    <row r="44" spans="1:15" ht="15.75" hidden="1" customHeight="1">
      <c r="A44" s="33">
        <v>43922.217377002315</v>
      </c>
      <c r="B44" s="35" t="s">
        <v>501</v>
      </c>
      <c r="C44" s="35" t="s">
        <v>502</v>
      </c>
      <c r="D44" s="35" t="s">
        <v>348</v>
      </c>
      <c r="E44" s="38" t="s">
        <v>503</v>
      </c>
      <c r="F44" s="35" t="s">
        <v>504</v>
      </c>
      <c r="G44" s="35" t="s">
        <v>505</v>
      </c>
      <c r="H44" s="35" t="s">
        <v>506</v>
      </c>
      <c r="I44" s="35" t="s">
        <v>15</v>
      </c>
      <c r="J44" s="35" t="s">
        <v>48</v>
      </c>
      <c r="M44" s="35" t="s">
        <v>83</v>
      </c>
    </row>
    <row r="45" spans="1:15" ht="15.75" customHeight="1">
      <c r="A45" s="33">
        <v>43922.220596412037</v>
      </c>
      <c r="B45" s="35" t="s">
        <v>9566</v>
      </c>
      <c r="C45" s="324" t="s">
        <v>6833</v>
      </c>
      <c r="D45" s="324" t="s">
        <v>6286</v>
      </c>
      <c r="E45" s="323" t="s">
        <v>9567</v>
      </c>
      <c r="F45" s="327"/>
      <c r="G45" s="324" t="s">
        <v>9568</v>
      </c>
      <c r="H45" s="324" t="s">
        <v>33</v>
      </c>
      <c r="I45" s="324" t="s">
        <v>9546</v>
      </c>
      <c r="J45" s="324" t="s">
        <v>48</v>
      </c>
      <c r="K45" s="327"/>
      <c r="L45" s="327"/>
      <c r="M45" s="324" t="s">
        <v>83</v>
      </c>
      <c r="N45" s="324" t="s">
        <v>9551</v>
      </c>
    </row>
    <row r="46" spans="1:15" ht="15.75" customHeight="1">
      <c r="A46" s="33">
        <v>43922.230919131944</v>
      </c>
      <c r="B46" s="35" t="s">
        <v>4023</v>
      </c>
      <c r="C46" s="35" t="s">
        <v>4024</v>
      </c>
      <c r="D46" s="35" t="s">
        <v>1153</v>
      </c>
      <c r="E46" s="38" t="s">
        <v>4025</v>
      </c>
      <c r="F46" s="328" t="s">
        <v>4027</v>
      </c>
      <c r="G46" s="35" t="s">
        <v>505</v>
      </c>
      <c r="H46" s="35" t="s">
        <v>33</v>
      </c>
      <c r="I46" s="35" t="s">
        <v>15</v>
      </c>
      <c r="J46" s="35" t="s">
        <v>48</v>
      </c>
      <c r="K46" s="327"/>
      <c r="L46" s="327"/>
      <c r="M46" s="35" t="s">
        <v>83</v>
      </c>
      <c r="N46" s="327"/>
    </row>
    <row r="47" spans="1:15" ht="15.75" hidden="1" customHeight="1">
      <c r="A47" s="33">
        <v>43922.240813622688</v>
      </c>
      <c r="B47" s="35" t="s">
        <v>523</v>
      </c>
      <c r="C47" s="35" t="s">
        <v>524</v>
      </c>
      <c r="D47" s="35" t="s">
        <v>525</v>
      </c>
      <c r="E47" s="38" t="s">
        <v>526</v>
      </c>
      <c r="F47" s="35" t="s">
        <v>527</v>
      </c>
      <c r="G47" s="35" t="s">
        <v>220</v>
      </c>
      <c r="H47" s="35" t="s">
        <v>46</v>
      </c>
      <c r="I47" s="35" t="s">
        <v>528</v>
      </c>
      <c r="J47" s="35" t="s">
        <v>81</v>
      </c>
      <c r="K47" s="35" t="s">
        <v>529</v>
      </c>
      <c r="L47" s="38" t="s">
        <v>530</v>
      </c>
      <c r="M47" s="35" t="s">
        <v>83</v>
      </c>
      <c r="N47" s="35" t="s">
        <v>532</v>
      </c>
      <c r="O47" s="44"/>
    </row>
    <row r="48" spans="1:15" ht="15.75" hidden="1" customHeight="1">
      <c r="A48" s="33">
        <v>43922.267843287038</v>
      </c>
      <c r="B48" s="35" t="s">
        <v>533</v>
      </c>
      <c r="C48" s="35" t="s">
        <v>534</v>
      </c>
      <c r="D48" s="35" t="s">
        <v>535</v>
      </c>
      <c r="E48" s="38" t="s">
        <v>536</v>
      </c>
      <c r="F48" s="35" t="s">
        <v>537</v>
      </c>
      <c r="G48" s="35" t="s">
        <v>538</v>
      </c>
      <c r="H48" s="35" t="s">
        <v>46</v>
      </c>
      <c r="I48" s="35" t="s">
        <v>337</v>
      </c>
      <c r="J48" s="35" t="s">
        <v>48</v>
      </c>
      <c r="K48" s="35" t="s">
        <v>539</v>
      </c>
      <c r="M48" s="35" t="s">
        <v>83</v>
      </c>
    </row>
    <row r="49" spans="1:15" ht="15.75" hidden="1" customHeight="1">
      <c r="A49" s="33">
        <v>43922.306707534721</v>
      </c>
      <c r="B49" s="35" t="s">
        <v>540</v>
      </c>
      <c r="C49" s="35" t="s">
        <v>541</v>
      </c>
      <c r="D49" s="35" t="s">
        <v>542</v>
      </c>
      <c r="E49" s="38" t="s">
        <v>543</v>
      </c>
      <c r="F49" s="35" t="s">
        <v>547</v>
      </c>
      <c r="G49" s="35" t="s">
        <v>548</v>
      </c>
      <c r="H49" s="35" t="s">
        <v>46</v>
      </c>
      <c r="I49" s="35" t="s">
        <v>549</v>
      </c>
      <c r="J49" s="35" t="s">
        <v>35</v>
      </c>
      <c r="K49" s="35" t="s">
        <v>550</v>
      </c>
      <c r="M49" s="35" t="s">
        <v>67</v>
      </c>
      <c r="N49" s="35" t="s">
        <v>551</v>
      </c>
      <c r="O49" s="44"/>
    </row>
    <row r="50" spans="1:15" ht="15.75" customHeight="1">
      <c r="A50" s="33">
        <v>43922.320823194445</v>
      </c>
      <c r="B50" s="35" t="s">
        <v>1345</v>
      </c>
      <c r="C50" s="35" t="s">
        <v>1346</v>
      </c>
      <c r="D50" s="35" t="s">
        <v>1347</v>
      </c>
      <c r="E50" s="328" t="s">
        <v>1346</v>
      </c>
      <c r="F50" s="35" t="s">
        <v>1348</v>
      </c>
      <c r="G50" s="35" t="s">
        <v>1349</v>
      </c>
      <c r="H50" s="35" t="s">
        <v>33</v>
      </c>
      <c r="I50" s="35" t="s">
        <v>1350</v>
      </c>
      <c r="J50" s="35" t="s">
        <v>104</v>
      </c>
      <c r="K50" s="35" t="s">
        <v>987</v>
      </c>
      <c r="L50" s="328" t="s">
        <v>1351</v>
      </c>
      <c r="M50" s="35" t="s">
        <v>67</v>
      </c>
      <c r="N50" s="328" t="s">
        <v>662</v>
      </c>
    </row>
    <row r="51" spans="1:15" ht="15.75" hidden="1" customHeight="1">
      <c r="A51" s="33">
        <v>43922.332901273148</v>
      </c>
      <c r="B51" s="35" t="s">
        <v>559</v>
      </c>
      <c r="C51" s="35" t="s">
        <v>560</v>
      </c>
      <c r="D51" s="35" t="s">
        <v>561</v>
      </c>
      <c r="E51" s="38" t="s">
        <v>562</v>
      </c>
      <c r="F51" s="35" t="s">
        <v>563</v>
      </c>
      <c r="G51" s="35" t="s">
        <v>564</v>
      </c>
      <c r="H51" s="35" t="s">
        <v>46</v>
      </c>
      <c r="I51" s="35" t="s">
        <v>565</v>
      </c>
      <c r="J51" s="35" t="s">
        <v>566</v>
      </c>
      <c r="K51" s="35" t="s">
        <v>567</v>
      </c>
      <c r="L51" s="35" t="s">
        <v>568</v>
      </c>
      <c r="M51" s="35" t="s">
        <v>83</v>
      </c>
      <c r="N51" s="35" t="s">
        <v>569</v>
      </c>
      <c r="O51" s="44"/>
    </row>
    <row r="52" spans="1:15" ht="15.75" hidden="1" customHeight="1">
      <c r="A52" s="33">
        <v>43922.344543194442</v>
      </c>
      <c r="B52" s="35" t="s">
        <v>570</v>
      </c>
      <c r="C52" s="35" t="s">
        <v>571</v>
      </c>
      <c r="D52" s="35" t="s">
        <v>572</v>
      </c>
      <c r="E52" s="38" t="s">
        <v>573</v>
      </c>
      <c r="F52" s="35" t="s">
        <v>577</v>
      </c>
      <c r="G52" s="35" t="s">
        <v>288</v>
      </c>
      <c r="H52" s="35" t="s">
        <v>46</v>
      </c>
      <c r="I52" s="35" t="s">
        <v>578</v>
      </c>
      <c r="J52" s="35" t="s">
        <v>48</v>
      </c>
      <c r="K52" s="35" t="s">
        <v>579</v>
      </c>
      <c r="L52" s="35" t="s">
        <v>580</v>
      </c>
      <c r="M52" s="35" t="s">
        <v>67</v>
      </c>
      <c r="N52" s="35" t="s">
        <v>581</v>
      </c>
      <c r="O52" s="44"/>
    </row>
    <row r="53" spans="1:15" ht="15.75" hidden="1" customHeight="1">
      <c r="A53" s="33">
        <v>43922.347180613426</v>
      </c>
      <c r="B53" s="35" t="s">
        <v>582</v>
      </c>
      <c r="C53" s="35" t="s">
        <v>583</v>
      </c>
      <c r="D53" s="35" t="s">
        <v>584</v>
      </c>
      <c r="E53" s="38" t="s">
        <v>585</v>
      </c>
      <c r="F53" s="35" t="s">
        <v>586</v>
      </c>
      <c r="G53" s="35" t="s">
        <v>161</v>
      </c>
      <c r="H53" s="35" t="s">
        <v>46</v>
      </c>
      <c r="I53" s="35" t="s">
        <v>588</v>
      </c>
      <c r="J53" s="35" t="s">
        <v>35</v>
      </c>
      <c r="M53" s="35" t="s">
        <v>67</v>
      </c>
      <c r="N53" s="35" t="s">
        <v>581</v>
      </c>
      <c r="O53" s="44"/>
    </row>
    <row r="54" spans="1:15" ht="15.75" hidden="1" customHeight="1">
      <c r="A54" s="33">
        <v>43922.380442962967</v>
      </c>
      <c r="B54" s="35" t="s">
        <v>589</v>
      </c>
      <c r="C54" s="35" t="s">
        <v>590</v>
      </c>
      <c r="D54" s="38" t="s">
        <v>591</v>
      </c>
      <c r="E54" s="38" t="s">
        <v>592</v>
      </c>
      <c r="F54" s="35" t="s">
        <v>593</v>
      </c>
      <c r="G54" s="35" t="s">
        <v>594</v>
      </c>
      <c r="H54" s="35" t="s">
        <v>595</v>
      </c>
      <c r="I54" s="35" t="s">
        <v>597</v>
      </c>
      <c r="J54" s="35" t="s">
        <v>81</v>
      </c>
      <c r="K54" s="35" t="s">
        <v>599</v>
      </c>
      <c r="L54" s="35" t="s">
        <v>600</v>
      </c>
      <c r="M54" s="35" t="s">
        <v>83</v>
      </c>
    </row>
    <row r="55" spans="1:15" ht="15.75" hidden="1" customHeight="1">
      <c r="A55" s="33">
        <v>43922.414886388884</v>
      </c>
      <c r="B55" s="35" t="s">
        <v>602</v>
      </c>
      <c r="C55" s="35" t="s">
        <v>603</v>
      </c>
      <c r="D55" s="35" t="s">
        <v>604</v>
      </c>
      <c r="E55" s="38" t="s">
        <v>605</v>
      </c>
      <c r="F55" s="35" t="s">
        <v>606</v>
      </c>
      <c r="G55" s="35" t="s">
        <v>607</v>
      </c>
      <c r="H55" s="35" t="s">
        <v>46</v>
      </c>
      <c r="I55" s="35" t="s">
        <v>608</v>
      </c>
      <c r="J55" s="35" t="s">
        <v>81</v>
      </c>
      <c r="K55" s="35" t="s">
        <v>609</v>
      </c>
      <c r="M55" s="35" t="s">
        <v>83</v>
      </c>
    </row>
    <row r="56" spans="1:15" ht="15.75" hidden="1" customHeight="1">
      <c r="A56" s="33">
        <v>43922.485041851847</v>
      </c>
      <c r="B56" s="35" t="s">
        <v>610</v>
      </c>
      <c r="C56" s="35" t="s">
        <v>611</v>
      </c>
      <c r="D56" s="35" t="s">
        <v>612</v>
      </c>
      <c r="E56" s="38" t="s">
        <v>613</v>
      </c>
      <c r="F56" s="35" t="s">
        <v>615</v>
      </c>
      <c r="G56" s="35" t="s">
        <v>616</v>
      </c>
      <c r="H56" s="35" t="s">
        <v>506</v>
      </c>
      <c r="I56" s="35" t="s">
        <v>425</v>
      </c>
      <c r="J56" s="35" t="s">
        <v>104</v>
      </c>
      <c r="M56" s="35" t="s">
        <v>83</v>
      </c>
    </row>
    <row r="57" spans="1:15" ht="15.75" hidden="1" customHeight="1">
      <c r="A57" s="33">
        <v>43922.578297835644</v>
      </c>
      <c r="B57" s="35" t="s">
        <v>617</v>
      </c>
      <c r="C57" s="35" t="s">
        <v>618</v>
      </c>
      <c r="D57" s="38" t="s">
        <v>197</v>
      </c>
      <c r="E57" s="38" t="s">
        <v>619</v>
      </c>
      <c r="F57" s="35" t="s">
        <v>623</v>
      </c>
      <c r="G57" s="35" t="s">
        <v>624</v>
      </c>
      <c r="H57" s="35" t="s">
        <v>46</v>
      </c>
      <c r="I57" s="38" t="s">
        <v>625</v>
      </c>
      <c r="J57" s="35" t="s">
        <v>35</v>
      </c>
      <c r="K57" s="35" t="s">
        <v>626</v>
      </c>
      <c r="L57" s="35" t="s">
        <v>627</v>
      </c>
      <c r="M57" s="35" t="s">
        <v>83</v>
      </c>
    </row>
    <row r="58" spans="1:15" ht="13" hidden="1">
      <c r="A58" s="33">
        <v>43922.596962662035</v>
      </c>
      <c r="B58" s="35" t="s">
        <v>629</v>
      </c>
      <c r="C58" s="35" t="s">
        <v>631</v>
      </c>
      <c r="D58" s="35" t="s">
        <v>632</v>
      </c>
      <c r="E58" s="38" t="s">
        <v>633</v>
      </c>
      <c r="F58" s="35" t="s">
        <v>634</v>
      </c>
      <c r="G58" s="35" t="s">
        <v>45</v>
      </c>
      <c r="H58" s="35" t="s">
        <v>46</v>
      </c>
      <c r="I58" s="35" t="s">
        <v>425</v>
      </c>
      <c r="J58" s="35" t="s">
        <v>35</v>
      </c>
      <c r="M58" s="35" t="s">
        <v>67</v>
      </c>
      <c r="N58" s="35" t="s">
        <v>635</v>
      </c>
      <c r="O58" s="44"/>
    </row>
    <row r="59" spans="1:15" ht="13" hidden="1">
      <c r="A59" s="33">
        <v>43922.734884155092</v>
      </c>
      <c r="B59" s="35" t="s">
        <v>636</v>
      </c>
      <c r="C59" s="35" t="s">
        <v>637</v>
      </c>
      <c r="D59" s="35" t="s">
        <v>87</v>
      </c>
      <c r="E59" s="38" t="s">
        <v>638</v>
      </c>
      <c r="F59" s="35" t="s">
        <v>639</v>
      </c>
      <c r="G59" s="35" t="s">
        <v>45</v>
      </c>
      <c r="H59" s="35" t="s">
        <v>46</v>
      </c>
      <c r="I59" s="35" t="s">
        <v>640</v>
      </c>
      <c r="J59" s="35" t="s">
        <v>81</v>
      </c>
      <c r="K59" s="35" t="s">
        <v>641</v>
      </c>
      <c r="L59" s="35" t="s">
        <v>642</v>
      </c>
      <c r="M59" s="35" t="s">
        <v>83</v>
      </c>
    </row>
    <row r="60" spans="1:15" ht="13" hidden="1">
      <c r="A60" s="33">
        <v>43922.786514178239</v>
      </c>
      <c r="B60" s="35" t="s">
        <v>643</v>
      </c>
      <c r="C60" s="35" t="s">
        <v>644</v>
      </c>
      <c r="D60" s="35" t="s">
        <v>645</v>
      </c>
      <c r="E60" s="38" t="s">
        <v>646</v>
      </c>
      <c r="F60" s="35" t="s">
        <v>649</v>
      </c>
      <c r="G60" s="35" t="s">
        <v>519</v>
      </c>
      <c r="H60" s="35" t="s">
        <v>46</v>
      </c>
      <c r="I60" s="35" t="s">
        <v>650</v>
      </c>
      <c r="J60" s="35" t="s">
        <v>48</v>
      </c>
      <c r="K60" s="35" t="s">
        <v>651</v>
      </c>
      <c r="L60" s="35" t="s">
        <v>652</v>
      </c>
      <c r="M60" s="35" t="s">
        <v>67</v>
      </c>
      <c r="N60" s="35" t="s">
        <v>68</v>
      </c>
      <c r="O60" s="44"/>
    </row>
    <row r="61" spans="1:15" ht="13" hidden="1">
      <c r="A61" s="33">
        <v>43922.78681553241</v>
      </c>
      <c r="B61" s="35" t="s">
        <v>654</v>
      </c>
      <c r="C61" s="35" t="s">
        <v>655</v>
      </c>
      <c r="D61" s="35" t="s">
        <v>657</v>
      </c>
      <c r="E61" s="38" t="s">
        <v>658</v>
      </c>
      <c r="F61" s="35" t="s">
        <v>659</v>
      </c>
      <c r="G61" s="35" t="s">
        <v>363</v>
      </c>
      <c r="H61" s="35" t="s">
        <v>46</v>
      </c>
      <c r="I61" s="35" t="s">
        <v>660</v>
      </c>
      <c r="J61" s="35" t="s">
        <v>48</v>
      </c>
      <c r="K61" s="35" t="s">
        <v>661</v>
      </c>
      <c r="L61" s="35" t="s">
        <v>660</v>
      </c>
      <c r="M61" s="35" t="s">
        <v>67</v>
      </c>
      <c r="N61" s="35" t="s">
        <v>662</v>
      </c>
      <c r="O61" s="44"/>
    </row>
    <row r="62" spans="1:15" ht="13" hidden="1">
      <c r="A62" s="33">
        <v>43922.792334733793</v>
      </c>
      <c r="B62" s="35" t="s">
        <v>663</v>
      </c>
      <c r="C62" s="35" t="s">
        <v>664</v>
      </c>
      <c r="D62" s="35" t="s">
        <v>665</v>
      </c>
      <c r="E62" s="38" t="s">
        <v>666</v>
      </c>
      <c r="F62" s="35" t="s">
        <v>670</v>
      </c>
      <c r="G62" s="35" t="s">
        <v>671</v>
      </c>
      <c r="H62" s="35" t="s">
        <v>46</v>
      </c>
      <c r="I62" s="35" t="s">
        <v>425</v>
      </c>
      <c r="J62" s="35" t="s">
        <v>81</v>
      </c>
      <c r="M62" s="35" t="s">
        <v>67</v>
      </c>
      <c r="N62" s="35" t="s">
        <v>672</v>
      </c>
      <c r="O62" s="44"/>
    </row>
    <row r="63" spans="1:15" ht="13" hidden="1">
      <c r="A63" s="33">
        <v>43922.794179305551</v>
      </c>
      <c r="B63" s="35" t="s">
        <v>673</v>
      </c>
      <c r="C63" s="35" t="s">
        <v>674</v>
      </c>
      <c r="D63" s="35" t="s">
        <v>675</v>
      </c>
      <c r="E63" s="38" t="s">
        <v>676</v>
      </c>
      <c r="F63" s="35" t="s">
        <v>677</v>
      </c>
      <c r="G63" s="35" t="s">
        <v>679</v>
      </c>
      <c r="H63" s="35" t="s">
        <v>46</v>
      </c>
      <c r="I63" s="35" t="s">
        <v>680</v>
      </c>
      <c r="J63" s="35" t="s">
        <v>48</v>
      </c>
      <c r="K63" s="35" t="s">
        <v>681</v>
      </c>
      <c r="M63" s="35" t="s">
        <v>83</v>
      </c>
      <c r="N63" s="35" t="s">
        <v>682</v>
      </c>
      <c r="O63" s="44"/>
    </row>
    <row r="64" spans="1:15" ht="13" hidden="1">
      <c r="A64" s="33">
        <v>43922.804792777781</v>
      </c>
      <c r="B64" s="35" t="s">
        <v>683</v>
      </c>
      <c r="C64" s="35" t="s">
        <v>684</v>
      </c>
      <c r="D64" s="38" t="s">
        <v>197</v>
      </c>
      <c r="E64" s="38" t="s">
        <v>686</v>
      </c>
      <c r="F64" s="35" t="s">
        <v>690</v>
      </c>
      <c r="G64" s="35" t="s">
        <v>691</v>
      </c>
      <c r="H64" s="35" t="s">
        <v>46</v>
      </c>
      <c r="I64" s="35" t="s">
        <v>692</v>
      </c>
      <c r="J64" s="35" t="s">
        <v>35</v>
      </c>
      <c r="K64" s="35" t="s">
        <v>693</v>
      </c>
      <c r="M64" s="35" t="s">
        <v>67</v>
      </c>
      <c r="N64" s="35" t="s">
        <v>694</v>
      </c>
      <c r="O64" s="44"/>
    </row>
    <row r="65" spans="1:15" ht="13" hidden="1">
      <c r="A65" s="33">
        <v>43922.821606597223</v>
      </c>
      <c r="B65" s="35" t="s">
        <v>695</v>
      </c>
      <c r="C65" s="35" t="s">
        <v>696</v>
      </c>
      <c r="D65" s="35" t="s">
        <v>697</v>
      </c>
      <c r="E65" s="38" t="s">
        <v>698</v>
      </c>
      <c r="F65" s="35" t="s">
        <v>701</v>
      </c>
      <c r="G65" s="35" t="s">
        <v>702</v>
      </c>
      <c r="H65" s="35" t="s">
        <v>46</v>
      </c>
      <c r="I65" s="35" t="s">
        <v>15</v>
      </c>
      <c r="J65" s="35" t="s">
        <v>35</v>
      </c>
      <c r="K65" s="35" t="s">
        <v>703</v>
      </c>
      <c r="M65" s="35" t="s">
        <v>67</v>
      </c>
      <c r="N65" s="35" t="s">
        <v>304</v>
      </c>
      <c r="O65" s="44"/>
    </row>
    <row r="66" spans="1:15" ht="13" hidden="1">
      <c r="A66" s="33">
        <v>43922.821922546296</v>
      </c>
      <c r="B66" s="35" t="s">
        <v>704</v>
      </c>
      <c r="C66" s="35" t="s">
        <v>705</v>
      </c>
      <c r="D66" s="35" t="s">
        <v>657</v>
      </c>
      <c r="E66" s="38" t="s">
        <v>706</v>
      </c>
      <c r="F66" s="35" t="s">
        <v>707</v>
      </c>
      <c r="G66" s="35" t="s">
        <v>709</v>
      </c>
      <c r="H66" s="35" t="s">
        <v>46</v>
      </c>
      <c r="I66" s="35" t="s">
        <v>710</v>
      </c>
      <c r="J66" s="35" t="s">
        <v>48</v>
      </c>
      <c r="K66" s="35" t="s">
        <v>711</v>
      </c>
      <c r="L66" s="35" t="s">
        <v>712</v>
      </c>
      <c r="M66" s="35" t="s">
        <v>83</v>
      </c>
      <c r="N66" s="35" t="s">
        <v>662</v>
      </c>
      <c r="O66" s="44"/>
    </row>
    <row r="67" spans="1:15" ht="13" hidden="1">
      <c r="A67" s="33">
        <v>43922.847788368061</v>
      </c>
      <c r="B67" s="35" t="s">
        <v>713</v>
      </c>
      <c r="C67" s="35" t="s">
        <v>714</v>
      </c>
      <c r="D67" s="35" t="s">
        <v>715</v>
      </c>
      <c r="E67" s="38" t="s">
        <v>716</v>
      </c>
      <c r="F67" s="35" t="s">
        <v>720</v>
      </c>
      <c r="G67" s="35" t="s">
        <v>322</v>
      </c>
      <c r="H67" s="35" t="s">
        <v>506</v>
      </c>
      <c r="I67" s="35" t="s">
        <v>721</v>
      </c>
      <c r="J67" s="35" t="s">
        <v>566</v>
      </c>
      <c r="K67" s="35" t="s">
        <v>722</v>
      </c>
      <c r="L67" s="35" t="s">
        <v>723</v>
      </c>
      <c r="M67" s="35" t="s">
        <v>83</v>
      </c>
      <c r="N67" s="35" t="s">
        <v>724</v>
      </c>
      <c r="O67" s="44"/>
    </row>
    <row r="68" spans="1:15" ht="13" hidden="1">
      <c r="A68" s="33">
        <v>43922.8753024537</v>
      </c>
      <c r="B68" s="35" t="s">
        <v>725</v>
      </c>
      <c r="C68" s="35" t="s">
        <v>726</v>
      </c>
      <c r="D68" s="35" t="s">
        <v>727</v>
      </c>
      <c r="E68" s="38" t="s">
        <v>728</v>
      </c>
      <c r="F68" s="35" t="s">
        <v>729</v>
      </c>
      <c r="G68" s="35" t="s">
        <v>730</v>
      </c>
      <c r="H68" s="35" t="s">
        <v>46</v>
      </c>
      <c r="I68" s="35" t="s">
        <v>731</v>
      </c>
      <c r="J68" s="35" t="s">
        <v>35</v>
      </c>
      <c r="K68" s="35" t="s">
        <v>732</v>
      </c>
      <c r="L68" s="35" t="s">
        <v>733</v>
      </c>
      <c r="M68" s="35" t="s">
        <v>83</v>
      </c>
      <c r="N68" s="35" t="s">
        <v>734</v>
      </c>
      <c r="O68" s="44"/>
    </row>
    <row r="69" spans="1:15" ht="13">
      <c r="A69" s="33">
        <v>43922.875509085643</v>
      </c>
      <c r="B69" s="35" t="s">
        <v>3133</v>
      </c>
      <c r="C69" s="35" t="s">
        <v>3134</v>
      </c>
      <c r="D69" s="35" t="s">
        <v>2080</v>
      </c>
      <c r="E69" s="38" t="s">
        <v>3135</v>
      </c>
      <c r="F69" s="35" t="s">
        <v>3136</v>
      </c>
      <c r="G69" s="35" t="s">
        <v>709</v>
      </c>
      <c r="H69" s="35" t="s">
        <v>33</v>
      </c>
      <c r="I69" s="35" t="s">
        <v>1587</v>
      </c>
      <c r="J69" s="35" t="s">
        <v>48</v>
      </c>
      <c r="K69" s="328" t="s">
        <v>3137</v>
      </c>
      <c r="L69" s="328" t="s">
        <v>3138</v>
      </c>
      <c r="M69" s="35" t="s">
        <v>83</v>
      </c>
    </row>
    <row r="70" spans="1:15" ht="13">
      <c r="A70" s="33">
        <v>43922.884698923612</v>
      </c>
      <c r="B70" s="35" t="s">
        <v>9452</v>
      </c>
      <c r="C70" s="35" t="s">
        <v>7170</v>
      </c>
      <c r="D70" s="35" t="s">
        <v>2380</v>
      </c>
      <c r="E70" s="328" t="s">
        <v>9453</v>
      </c>
      <c r="F70" s="320" t="s">
        <v>9454</v>
      </c>
      <c r="G70" s="35" t="s">
        <v>9451</v>
      </c>
      <c r="H70" s="35" t="s">
        <v>33</v>
      </c>
      <c r="I70" s="319" t="s">
        <v>9423</v>
      </c>
      <c r="J70" s="327"/>
      <c r="K70" s="327"/>
      <c r="L70" s="327"/>
      <c r="M70" s="327"/>
      <c r="N70" s="327"/>
    </row>
    <row r="71" spans="1:15" ht="13" hidden="1">
      <c r="A71" s="33">
        <v>43922.886739074078</v>
      </c>
      <c r="B71" s="35" t="s">
        <v>747</v>
      </c>
      <c r="C71" s="35" t="s">
        <v>748</v>
      </c>
      <c r="D71" s="35" t="s">
        <v>749</v>
      </c>
      <c r="E71" s="38" t="s">
        <v>750</v>
      </c>
      <c r="F71" s="35" t="s">
        <v>755</v>
      </c>
      <c r="G71" s="35" t="s">
        <v>363</v>
      </c>
      <c r="H71" s="35" t="s">
        <v>46</v>
      </c>
      <c r="I71" s="35" t="s">
        <v>756</v>
      </c>
      <c r="J71" s="35" t="s">
        <v>35</v>
      </c>
      <c r="K71" s="35" t="s">
        <v>757</v>
      </c>
      <c r="L71" s="35" t="s">
        <v>758</v>
      </c>
      <c r="M71" s="35" t="s">
        <v>67</v>
      </c>
      <c r="N71" s="35" t="s">
        <v>759</v>
      </c>
      <c r="O71" s="44"/>
    </row>
    <row r="72" spans="1:15" ht="13" hidden="1">
      <c r="A72" s="33">
        <v>43922.890694085647</v>
      </c>
      <c r="B72" s="35" t="s">
        <v>760</v>
      </c>
      <c r="C72" s="35" t="s">
        <v>761</v>
      </c>
      <c r="D72" s="35" t="s">
        <v>762</v>
      </c>
      <c r="E72" s="38" t="s">
        <v>763</v>
      </c>
      <c r="F72" s="35" t="s">
        <v>766</v>
      </c>
      <c r="G72" s="35" t="s">
        <v>767</v>
      </c>
      <c r="H72" s="35" t="s">
        <v>46</v>
      </c>
      <c r="I72" s="35" t="s">
        <v>768</v>
      </c>
      <c r="J72" s="35" t="s">
        <v>81</v>
      </c>
      <c r="K72" s="35" t="s">
        <v>769</v>
      </c>
      <c r="L72" s="35" t="s">
        <v>770</v>
      </c>
      <c r="M72" s="35" t="s">
        <v>83</v>
      </c>
      <c r="N72" s="35" t="s">
        <v>771</v>
      </c>
      <c r="O72" s="44"/>
    </row>
    <row r="73" spans="1:15" ht="13" hidden="1">
      <c r="A73" s="33">
        <v>43922.892207534722</v>
      </c>
      <c r="B73" s="35" t="s">
        <v>772</v>
      </c>
      <c r="C73" s="35" t="s">
        <v>773</v>
      </c>
      <c r="D73" s="35" t="s">
        <v>774</v>
      </c>
      <c r="E73" s="38" t="s">
        <v>775</v>
      </c>
      <c r="F73" s="35" t="s">
        <v>777</v>
      </c>
      <c r="G73" s="35" t="s">
        <v>778</v>
      </c>
      <c r="H73" s="35" t="s">
        <v>46</v>
      </c>
      <c r="I73" s="35" t="s">
        <v>779</v>
      </c>
      <c r="J73" s="35" t="s">
        <v>35</v>
      </c>
      <c r="M73" s="35" t="s">
        <v>83</v>
      </c>
      <c r="N73" s="35" t="s">
        <v>68</v>
      </c>
      <c r="O73" s="44"/>
    </row>
    <row r="74" spans="1:15" ht="13">
      <c r="A74" s="33">
        <v>43922.893558414347</v>
      </c>
      <c r="B74" s="35" t="s">
        <v>5161</v>
      </c>
      <c r="C74" s="35" t="s">
        <v>5162</v>
      </c>
      <c r="D74" s="35" t="s">
        <v>5163</v>
      </c>
      <c r="E74" s="38" t="s">
        <v>5164</v>
      </c>
      <c r="F74" s="35" t="s">
        <v>5165</v>
      </c>
      <c r="G74" s="35" t="s">
        <v>505</v>
      </c>
      <c r="H74" s="35" t="s">
        <v>33</v>
      </c>
      <c r="I74" s="35" t="s">
        <v>255</v>
      </c>
      <c r="J74" s="35" t="s">
        <v>104</v>
      </c>
      <c r="K74" s="35" t="s">
        <v>5166</v>
      </c>
      <c r="M74" s="35" t="s">
        <v>83</v>
      </c>
      <c r="N74" s="327"/>
    </row>
    <row r="75" spans="1:15" ht="13" hidden="1">
      <c r="A75" s="33">
        <v>43922.915784618061</v>
      </c>
      <c r="B75" s="35" t="s">
        <v>789</v>
      </c>
      <c r="C75" s="35" t="s">
        <v>790</v>
      </c>
      <c r="D75" s="75" t="s">
        <v>87</v>
      </c>
      <c r="E75" s="38" t="s">
        <v>791</v>
      </c>
      <c r="F75" s="35" t="s">
        <v>794</v>
      </c>
      <c r="G75" s="35" t="s">
        <v>32</v>
      </c>
      <c r="H75" s="35" t="s">
        <v>46</v>
      </c>
      <c r="I75" s="35" t="s">
        <v>795</v>
      </c>
      <c r="J75" s="35" t="s">
        <v>48</v>
      </c>
      <c r="M75" s="35" t="s">
        <v>67</v>
      </c>
      <c r="N75" s="35" t="s">
        <v>796</v>
      </c>
      <c r="O75" s="44"/>
    </row>
    <row r="76" spans="1:15" ht="13" hidden="1">
      <c r="A76" s="33">
        <v>43922.916753495374</v>
      </c>
      <c r="B76" s="35" t="s">
        <v>797</v>
      </c>
      <c r="C76" s="35" t="s">
        <v>798</v>
      </c>
      <c r="D76" s="35" t="s">
        <v>799</v>
      </c>
      <c r="E76" s="38" t="s">
        <v>800</v>
      </c>
      <c r="F76" s="35" t="s">
        <v>801</v>
      </c>
      <c r="G76" s="35" t="s">
        <v>802</v>
      </c>
      <c r="H76" s="35" t="s">
        <v>506</v>
      </c>
      <c r="I76" s="35" t="s">
        <v>803</v>
      </c>
      <c r="J76" s="35" t="s">
        <v>48</v>
      </c>
      <c r="K76" s="35" t="s">
        <v>804</v>
      </c>
      <c r="M76" s="35" t="s">
        <v>83</v>
      </c>
      <c r="N76" s="35" t="s">
        <v>805</v>
      </c>
      <c r="O76" s="35" t="s">
        <v>801</v>
      </c>
    </row>
    <row r="77" spans="1:15" ht="13">
      <c r="A77" s="33">
        <v>43922.929268240739</v>
      </c>
      <c r="B77" s="35" t="s">
        <v>2196</v>
      </c>
      <c r="C77" s="35" t="s">
        <v>2197</v>
      </c>
      <c r="D77" s="35" t="s">
        <v>1953</v>
      </c>
      <c r="E77" s="38" t="s">
        <v>2198</v>
      </c>
      <c r="F77" s="328" t="s">
        <v>2200</v>
      </c>
      <c r="G77" s="35" t="s">
        <v>505</v>
      </c>
      <c r="H77" s="35" t="s">
        <v>33</v>
      </c>
      <c r="I77" s="35" t="s">
        <v>1951</v>
      </c>
      <c r="J77" s="35" t="s">
        <v>48</v>
      </c>
      <c r="K77" s="35" t="s">
        <v>1951</v>
      </c>
      <c r="L77" s="35" t="s">
        <v>2201</v>
      </c>
      <c r="M77" s="35" t="s">
        <v>83</v>
      </c>
      <c r="N77" s="327"/>
      <c r="O77" s="35" t="s">
        <v>814</v>
      </c>
    </row>
    <row r="78" spans="1:15" ht="13" hidden="1">
      <c r="A78" s="33">
        <v>43922.945110405097</v>
      </c>
      <c r="B78" s="35" t="s">
        <v>820</v>
      </c>
      <c r="C78" s="35" t="s">
        <v>821</v>
      </c>
      <c r="D78" s="35" t="s">
        <v>822</v>
      </c>
      <c r="E78" s="38" t="s">
        <v>823</v>
      </c>
      <c r="F78" s="35" t="s">
        <v>824</v>
      </c>
      <c r="G78" s="35" t="s">
        <v>519</v>
      </c>
      <c r="H78" s="35" t="s">
        <v>46</v>
      </c>
      <c r="I78" s="35" t="s">
        <v>825</v>
      </c>
      <c r="J78" s="35" t="s">
        <v>81</v>
      </c>
      <c r="M78" s="35" t="s">
        <v>67</v>
      </c>
      <c r="N78" s="35" t="s">
        <v>826</v>
      </c>
      <c r="O78" s="35" t="s">
        <v>824</v>
      </c>
    </row>
    <row r="79" spans="1:15" ht="13" hidden="1">
      <c r="A79" s="33">
        <v>43922.955104143519</v>
      </c>
      <c r="B79" s="35" t="s">
        <v>827</v>
      </c>
      <c r="C79" s="35" t="s">
        <v>828</v>
      </c>
      <c r="D79" s="35" t="s">
        <v>829</v>
      </c>
      <c r="E79" s="38" t="s">
        <v>830</v>
      </c>
      <c r="F79" s="35" t="s">
        <v>832</v>
      </c>
      <c r="G79" s="35" t="s">
        <v>63</v>
      </c>
      <c r="H79" s="35" t="s">
        <v>46</v>
      </c>
      <c r="I79" s="35" t="s">
        <v>833</v>
      </c>
      <c r="J79" s="35" t="s">
        <v>104</v>
      </c>
      <c r="M79" s="35" t="s">
        <v>83</v>
      </c>
      <c r="N79" s="35" t="s">
        <v>834</v>
      </c>
      <c r="O79" s="35" t="s">
        <v>835</v>
      </c>
    </row>
    <row r="80" spans="1:15" ht="13" hidden="1">
      <c r="A80" s="33">
        <v>43922.965592696761</v>
      </c>
      <c r="B80" s="35" t="s">
        <v>836</v>
      </c>
      <c r="C80" s="35" t="s">
        <v>837</v>
      </c>
      <c r="D80" s="35" t="s">
        <v>838</v>
      </c>
      <c r="E80" s="38" t="s">
        <v>839</v>
      </c>
      <c r="F80" s="35" t="s">
        <v>845</v>
      </c>
      <c r="G80" s="35" t="s">
        <v>322</v>
      </c>
      <c r="H80" s="35" t="s">
        <v>847</v>
      </c>
      <c r="I80" s="35" t="s">
        <v>848</v>
      </c>
      <c r="J80" s="35" t="s">
        <v>35</v>
      </c>
      <c r="K80" s="35" t="s">
        <v>850</v>
      </c>
      <c r="L80" s="35" t="s">
        <v>851</v>
      </c>
      <c r="M80" s="35" t="s">
        <v>83</v>
      </c>
      <c r="N80" s="35" t="s">
        <v>852</v>
      </c>
      <c r="O80" s="35" t="s">
        <v>26</v>
      </c>
    </row>
    <row r="81" spans="1:15" ht="13" hidden="1">
      <c r="A81" s="33">
        <v>43922.9826521875</v>
      </c>
      <c r="B81" s="35" t="s">
        <v>853</v>
      </c>
      <c r="C81" s="35" t="s">
        <v>854</v>
      </c>
      <c r="D81" s="35" t="s">
        <v>855</v>
      </c>
      <c r="E81" s="38" t="s">
        <v>856</v>
      </c>
      <c r="F81" s="35" t="s">
        <v>858</v>
      </c>
      <c r="G81" s="35" t="s">
        <v>32</v>
      </c>
      <c r="H81" s="35" t="s">
        <v>126</v>
      </c>
      <c r="I81" s="35" t="s">
        <v>861</v>
      </c>
      <c r="J81" s="35" t="s">
        <v>48</v>
      </c>
      <c r="M81" s="35" t="s">
        <v>83</v>
      </c>
      <c r="N81" s="35" t="s">
        <v>862</v>
      </c>
      <c r="O81" s="35" t="s">
        <v>26</v>
      </c>
    </row>
    <row r="82" spans="1:15" ht="13" hidden="1">
      <c r="A82" s="33">
        <v>43922.994258865743</v>
      </c>
      <c r="B82" s="35" t="s">
        <v>863</v>
      </c>
      <c r="C82" s="35" t="s">
        <v>864</v>
      </c>
      <c r="D82" s="35" t="s">
        <v>865</v>
      </c>
      <c r="E82" s="38" t="s">
        <v>866</v>
      </c>
      <c r="F82" s="35" t="s">
        <v>869</v>
      </c>
      <c r="G82" s="35" t="s">
        <v>870</v>
      </c>
      <c r="H82" s="35" t="s">
        <v>506</v>
      </c>
      <c r="I82" s="35" t="s">
        <v>872</v>
      </c>
      <c r="J82" s="35" t="s">
        <v>104</v>
      </c>
      <c r="M82" s="35" t="s">
        <v>83</v>
      </c>
      <c r="N82" s="35" t="s">
        <v>873</v>
      </c>
      <c r="O82" s="35" t="s">
        <v>26</v>
      </c>
    </row>
    <row r="83" spans="1:15" ht="13">
      <c r="A83" s="33">
        <v>43923.008903472219</v>
      </c>
      <c r="B83" s="35" t="s">
        <v>5310</v>
      </c>
      <c r="C83" s="35" t="s">
        <v>2197</v>
      </c>
      <c r="D83" s="35" t="s">
        <v>2633</v>
      </c>
      <c r="E83" s="38" t="s">
        <v>5311</v>
      </c>
      <c r="F83" s="35" t="s">
        <v>5316</v>
      </c>
      <c r="G83" s="35" t="s">
        <v>505</v>
      </c>
      <c r="H83" s="35" t="s">
        <v>33</v>
      </c>
      <c r="I83" s="35" t="s">
        <v>5317</v>
      </c>
      <c r="J83" s="35" t="s">
        <v>48</v>
      </c>
      <c r="M83" s="35" t="s">
        <v>83</v>
      </c>
      <c r="O83" s="35" t="s">
        <v>26</v>
      </c>
    </row>
    <row r="84" spans="1:15" ht="13" hidden="1">
      <c r="A84" s="33">
        <v>43923.020714293976</v>
      </c>
      <c r="B84" s="35" t="s">
        <v>884</v>
      </c>
      <c r="C84" s="35" t="s">
        <v>888</v>
      </c>
      <c r="D84" s="38" t="s">
        <v>197</v>
      </c>
      <c r="E84" s="38" t="s">
        <v>890</v>
      </c>
      <c r="F84" s="35" t="s">
        <v>891</v>
      </c>
      <c r="G84" s="35" t="s">
        <v>505</v>
      </c>
      <c r="H84" s="35" t="s">
        <v>46</v>
      </c>
      <c r="I84" s="35" t="s">
        <v>892</v>
      </c>
      <c r="J84" s="35" t="s">
        <v>48</v>
      </c>
      <c r="K84" s="35" t="s">
        <v>893</v>
      </c>
      <c r="M84" s="35" t="s">
        <v>67</v>
      </c>
      <c r="N84" s="35" t="s">
        <v>826</v>
      </c>
      <c r="O84" s="35" t="s">
        <v>26</v>
      </c>
    </row>
    <row r="85" spans="1:15" ht="13">
      <c r="A85" s="33">
        <v>43923.02266008102</v>
      </c>
      <c r="B85" s="35" t="s">
        <v>4771</v>
      </c>
      <c r="C85" s="35" t="s">
        <v>4773</v>
      </c>
      <c r="D85" s="35">
        <v>2019</v>
      </c>
      <c r="E85" s="38" t="s">
        <v>4775</v>
      </c>
      <c r="F85" s="35" t="s">
        <v>4776</v>
      </c>
      <c r="G85" s="35" t="s">
        <v>4777</v>
      </c>
      <c r="H85" s="35" t="s">
        <v>33</v>
      </c>
      <c r="I85" s="35" t="s">
        <v>4778</v>
      </c>
      <c r="J85" s="35" t="s">
        <v>81</v>
      </c>
      <c r="M85" s="35" t="s">
        <v>83</v>
      </c>
      <c r="O85" s="35" t="s">
        <v>26</v>
      </c>
    </row>
    <row r="86" spans="1:15" ht="13" hidden="1">
      <c r="A86" s="33">
        <v>43923.041979236106</v>
      </c>
      <c r="B86" s="35" t="s">
        <v>907</v>
      </c>
      <c r="C86" s="35" t="s">
        <v>908</v>
      </c>
      <c r="D86" s="35" t="s">
        <v>909</v>
      </c>
      <c r="E86" s="38" t="s">
        <v>910</v>
      </c>
      <c r="F86" s="35" t="s">
        <v>912</v>
      </c>
      <c r="G86" s="35" t="s">
        <v>913</v>
      </c>
      <c r="H86" s="35" t="s">
        <v>46</v>
      </c>
      <c r="I86" s="35" t="s">
        <v>914</v>
      </c>
      <c r="J86" s="35" t="s">
        <v>35</v>
      </c>
      <c r="K86" s="35" t="s">
        <v>915</v>
      </c>
      <c r="L86" s="35" t="s">
        <v>916</v>
      </c>
      <c r="M86" s="35" t="s">
        <v>83</v>
      </c>
      <c r="N86" s="35" t="s">
        <v>826</v>
      </c>
      <c r="O86" s="35" t="s">
        <v>26</v>
      </c>
    </row>
    <row r="87" spans="1:15" ht="13" hidden="1">
      <c r="A87" s="33">
        <v>43923.075011550929</v>
      </c>
      <c r="B87" s="35" t="s">
        <v>917</v>
      </c>
      <c r="C87" s="35" t="s">
        <v>918</v>
      </c>
      <c r="D87" s="35" t="s">
        <v>919</v>
      </c>
      <c r="E87" s="38" t="s">
        <v>920</v>
      </c>
      <c r="F87" s="35" t="s">
        <v>924</v>
      </c>
      <c r="G87" s="35" t="s">
        <v>344</v>
      </c>
      <c r="H87" s="35" t="s">
        <v>46</v>
      </c>
      <c r="I87" s="35" t="s">
        <v>925</v>
      </c>
      <c r="J87" s="35" t="s">
        <v>48</v>
      </c>
      <c r="K87" s="35" t="s">
        <v>925</v>
      </c>
      <c r="M87" s="35" t="s">
        <v>83</v>
      </c>
      <c r="O87" s="35" t="s">
        <v>26</v>
      </c>
    </row>
    <row r="88" spans="1:15" ht="13">
      <c r="A88" s="33">
        <v>43923.079429699079</v>
      </c>
      <c r="B88" s="35" t="s">
        <v>3062</v>
      </c>
      <c r="C88" s="35" t="s">
        <v>3063</v>
      </c>
      <c r="D88" s="35" t="s">
        <v>3064</v>
      </c>
      <c r="E88" s="38" t="s">
        <v>3065</v>
      </c>
      <c r="F88" s="35" t="s">
        <v>3066</v>
      </c>
      <c r="G88" s="35" t="s">
        <v>363</v>
      </c>
      <c r="H88" s="35" t="s">
        <v>33</v>
      </c>
      <c r="I88" s="35" t="s">
        <v>1420</v>
      </c>
      <c r="J88" s="35" t="s">
        <v>35</v>
      </c>
      <c r="K88" s="328" t="s">
        <v>3068</v>
      </c>
      <c r="L88" s="328" t="s">
        <v>3069</v>
      </c>
      <c r="M88" s="35" t="s">
        <v>83</v>
      </c>
      <c r="O88" s="35" t="s">
        <v>26</v>
      </c>
    </row>
    <row r="89" spans="1:15" ht="13" hidden="1">
      <c r="A89" s="33">
        <v>43923.083931273148</v>
      </c>
      <c r="B89" s="35" t="s">
        <v>935</v>
      </c>
      <c r="C89" s="35" t="s">
        <v>936</v>
      </c>
      <c r="D89" s="35" t="s">
        <v>799</v>
      </c>
      <c r="E89" s="38" t="s">
        <v>937</v>
      </c>
      <c r="F89" s="35" t="s">
        <v>943</v>
      </c>
      <c r="G89" s="35" t="s">
        <v>63</v>
      </c>
      <c r="H89" s="35" t="s">
        <v>506</v>
      </c>
      <c r="I89" s="35" t="s">
        <v>946</v>
      </c>
      <c r="J89" s="35" t="s">
        <v>48</v>
      </c>
      <c r="K89" s="35" t="s">
        <v>947</v>
      </c>
      <c r="M89" s="35" t="s">
        <v>83</v>
      </c>
      <c r="O89" s="35" t="s">
        <v>26</v>
      </c>
    </row>
    <row r="90" spans="1:15" ht="13" hidden="1">
      <c r="A90" s="33">
        <v>43923.086863368051</v>
      </c>
      <c r="B90" s="35" t="s">
        <v>948</v>
      </c>
      <c r="C90" s="35" t="s">
        <v>949</v>
      </c>
      <c r="D90" s="35" t="s">
        <v>87</v>
      </c>
      <c r="E90" s="38" t="s">
        <v>950</v>
      </c>
      <c r="F90" s="35" t="s">
        <v>952</v>
      </c>
      <c r="G90" s="35" t="s">
        <v>953</v>
      </c>
      <c r="H90" s="35" t="s">
        <v>46</v>
      </c>
      <c r="I90" s="35" t="s">
        <v>954</v>
      </c>
      <c r="J90" s="35" t="s">
        <v>48</v>
      </c>
      <c r="K90" s="35" t="s">
        <v>955</v>
      </c>
      <c r="L90" s="35" t="s">
        <v>956</v>
      </c>
      <c r="M90" s="35" t="s">
        <v>83</v>
      </c>
      <c r="N90" s="35" t="s">
        <v>957</v>
      </c>
      <c r="O90" s="35" t="s">
        <v>26</v>
      </c>
    </row>
    <row r="91" spans="1:15" ht="13">
      <c r="A91" s="33">
        <v>43923.094203506946</v>
      </c>
      <c r="B91" s="35" t="s">
        <v>6432</v>
      </c>
      <c r="C91" s="35" t="s">
        <v>1332</v>
      </c>
      <c r="D91" s="35" t="s">
        <v>6433</v>
      </c>
      <c r="E91" s="38" t="s">
        <v>6434</v>
      </c>
      <c r="F91" s="35" t="s">
        <v>6439</v>
      </c>
      <c r="G91" s="35" t="s">
        <v>220</v>
      </c>
      <c r="H91" s="35" t="s">
        <v>33</v>
      </c>
      <c r="I91" s="35" t="s">
        <v>6440</v>
      </c>
      <c r="J91" s="35" t="s">
        <v>48</v>
      </c>
      <c r="K91" s="328" t="s">
        <v>6441</v>
      </c>
      <c r="L91" s="328" t="s">
        <v>6442</v>
      </c>
      <c r="M91" s="35" t="s">
        <v>83</v>
      </c>
      <c r="N91" s="328" t="s">
        <v>6443</v>
      </c>
      <c r="O91" s="35" t="s">
        <v>26</v>
      </c>
    </row>
    <row r="92" spans="1:15" ht="13" hidden="1">
      <c r="A92" s="33">
        <v>43923.098800208332</v>
      </c>
      <c r="B92" s="35" t="s">
        <v>971</v>
      </c>
      <c r="C92" s="35" t="s">
        <v>972</v>
      </c>
      <c r="D92" s="35" t="s">
        <v>973</v>
      </c>
      <c r="E92" s="38" t="s">
        <v>974</v>
      </c>
      <c r="F92" s="35" t="s">
        <v>975</v>
      </c>
      <c r="G92" s="35" t="s">
        <v>976</v>
      </c>
      <c r="H92" s="35" t="s">
        <v>46</v>
      </c>
      <c r="I92" s="35" t="s">
        <v>977</v>
      </c>
      <c r="J92" s="35" t="s">
        <v>35</v>
      </c>
      <c r="M92" s="35" t="s">
        <v>83</v>
      </c>
      <c r="N92" s="35" t="s">
        <v>978</v>
      </c>
      <c r="O92" s="35" t="s">
        <v>26</v>
      </c>
    </row>
    <row r="93" spans="1:15" ht="13" hidden="1">
      <c r="A93" s="33">
        <v>43923.099549791667</v>
      </c>
      <c r="B93" s="35" t="s">
        <v>979</v>
      </c>
      <c r="C93" s="35" t="s">
        <v>980</v>
      </c>
      <c r="D93" s="35" t="s">
        <v>982</v>
      </c>
      <c r="E93" s="38" t="s">
        <v>983</v>
      </c>
      <c r="F93" s="35" t="s">
        <v>984</v>
      </c>
      <c r="G93" s="35" t="s">
        <v>278</v>
      </c>
      <c r="H93" s="35" t="s">
        <v>46</v>
      </c>
      <c r="I93" s="35" t="s">
        <v>985</v>
      </c>
      <c r="J93" s="35" t="s">
        <v>81</v>
      </c>
      <c r="K93" s="35" t="s">
        <v>987</v>
      </c>
      <c r="L93" s="35" t="s">
        <v>987</v>
      </c>
      <c r="M93" s="35" t="s">
        <v>67</v>
      </c>
      <c r="N93" s="35" t="s">
        <v>989</v>
      </c>
      <c r="O93" s="35" t="s">
        <v>26</v>
      </c>
    </row>
    <row r="94" spans="1:15" ht="13">
      <c r="A94" s="33">
        <v>43923.102339699079</v>
      </c>
      <c r="B94" s="35" t="s">
        <v>1931</v>
      </c>
      <c r="C94" s="35" t="s">
        <v>1933</v>
      </c>
      <c r="D94" s="35" t="s">
        <v>1153</v>
      </c>
      <c r="E94" s="38" t="s">
        <v>1934</v>
      </c>
      <c r="F94" s="328" t="s">
        <v>1939</v>
      </c>
      <c r="G94" s="35" t="s">
        <v>709</v>
      </c>
      <c r="H94" s="35" t="s">
        <v>33</v>
      </c>
      <c r="I94" s="35" t="s">
        <v>1940</v>
      </c>
      <c r="J94" s="35" t="s">
        <v>48</v>
      </c>
      <c r="K94" s="328" t="s">
        <v>1941</v>
      </c>
      <c r="L94" s="328" t="s">
        <v>1942</v>
      </c>
      <c r="M94" s="35" t="s">
        <v>83</v>
      </c>
      <c r="O94" s="35" t="s">
        <v>26</v>
      </c>
    </row>
    <row r="95" spans="1:15" ht="13" hidden="1">
      <c r="A95" s="33">
        <v>43923.109088055557</v>
      </c>
      <c r="B95" s="35" t="s">
        <v>1001</v>
      </c>
      <c r="C95" s="35" t="s">
        <v>1002</v>
      </c>
      <c r="D95" s="35" t="s">
        <v>1003</v>
      </c>
      <c r="E95" s="38" t="s">
        <v>1004</v>
      </c>
      <c r="F95" s="35" t="s">
        <v>1005</v>
      </c>
      <c r="G95" s="35" t="s">
        <v>1006</v>
      </c>
      <c r="H95" s="35" t="s">
        <v>46</v>
      </c>
      <c r="I95" s="35" t="s">
        <v>1007</v>
      </c>
      <c r="J95" s="35" t="s">
        <v>48</v>
      </c>
      <c r="K95" s="38" t="s">
        <v>1008</v>
      </c>
      <c r="M95" s="35" t="s">
        <v>67</v>
      </c>
      <c r="N95" s="35" t="s">
        <v>92</v>
      </c>
      <c r="O95" s="35" t="s">
        <v>26</v>
      </c>
    </row>
    <row r="96" spans="1:15" ht="13">
      <c r="A96" s="33">
        <v>43923.113218182873</v>
      </c>
      <c r="B96" s="35" t="s">
        <v>1553</v>
      </c>
      <c r="C96" s="35" t="s">
        <v>1554</v>
      </c>
      <c r="D96" s="35" t="s">
        <v>1555</v>
      </c>
      <c r="E96" s="38" t="s">
        <v>1556</v>
      </c>
      <c r="F96" s="35" t="s">
        <v>1559</v>
      </c>
      <c r="G96" s="35" t="s">
        <v>709</v>
      </c>
      <c r="H96" s="35" t="s">
        <v>33</v>
      </c>
      <c r="I96" s="35" t="s">
        <v>1560</v>
      </c>
      <c r="J96" s="35" t="s">
        <v>48</v>
      </c>
      <c r="K96" s="35" t="s">
        <v>1561</v>
      </c>
      <c r="L96" s="35" t="s">
        <v>1562</v>
      </c>
      <c r="M96" s="35" t="s">
        <v>67</v>
      </c>
      <c r="N96" s="327"/>
      <c r="O96" s="35" t="s">
        <v>26</v>
      </c>
    </row>
    <row r="97" spans="1:15" ht="13" hidden="1">
      <c r="A97" s="33">
        <v>43923.113304699073</v>
      </c>
      <c r="B97" s="35" t="s">
        <v>1025</v>
      </c>
      <c r="C97" s="35" t="s">
        <v>1026</v>
      </c>
      <c r="D97" s="35" t="s">
        <v>1027</v>
      </c>
      <c r="E97" s="38" t="s">
        <v>1028</v>
      </c>
      <c r="F97" s="35" t="s">
        <v>1029</v>
      </c>
      <c r="G97" s="35" t="s">
        <v>1030</v>
      </c>
      <c r="H97" s="35" t="s">
        <v>46</v>
      </c>
      <c r="I97" s="35" t="s">
        <v>1031</v>
      </c>
      <c r="J97" s="35" t="s">
        <v>35</v>
      </c>
      <c r="M97" s="35" t="s">
        <v>67</v>
      </c>
      <c r="N97" s="35" t="s">
        <v>68</v>
      </c>
      <c r="O97" s="35" t="s">
        <v>26</v>
      </c>
    </row>
    <row r="98" spans="1:15" ht="13" hidden="1">
      <c r="A98" s="33">
        <v>43923.175229722227</v>
      </c>
      <c r="B98" s="35" t="s">
        <v>1033</v>
      </c>
      <c r="C98" s="35" t="s">
        <v>1034</v>
      </c>
      <c r="D98" s="35" t="s">
        <v>1035</v>
      </c>
      <c r="E98" s="38" t="s">
        <v>1036</v>
      </c>
      <c r="F98" s="35" t="s">
        <v>1041</v>
      </c>
      <c r="G98" s="35" t="s">
        <v>32</v>
      </c>
      <c r="H98" s="35" t="s">
        <v>46</v>
      </c>
      <c r="I98" s="35" t="s">
        <v>453</v>
      </c>
      <c r="J98" s="35" t="s">
        <v>104</v>
      </c>
      <c r="K98" s="35" t="s">
        <v>1042</v>
      </c>
      <c r="M98" s="35" t="s">
        <v>83</v>
      </c>
      <c r="N98" s="35" t="s">
        <v>1043</v>
      </c>
      <c r="O98" s="35" t="s">
        <v>26</v>
      </c>
    </row>
    <row r="99" spans="1:15" ht="13" hidden="1">
      <c r="A99" s="33">
        <v>43923.186708425928</v>
      </c>
      <c r="B99" s="35" t="s">
        <v>1044</v>
      </c>
      <c r="C99" s="35" t="s">
        <v>1045</v>
      </c>
      <c r="D99" s="35" t="s">
        <v>1046</v>
      </c>
      <c r="E99" s="38" t="s">
        <v>1047</v>
      </c>
      <c r="F99" s="35" t="s">
        <v>1048</v>
      </c>
      <c r="G99" s="35" t="s">
        <v>931</v>
      </c>
      <c r="H99" s="35" t="s">
        <v>46</v>
      </c>
      <c r="I99" s="35" t="s">
        <v>1049</v>
      </c>
      <c r="J99" s="35" t="s">
        <v>48</v>
      </c>
      <c r="M99" s="35" t="s">
        <v>67</v>
      </c>
      <c r="O99" s="35" t="s">
        <v>26</v>
      </c>
    </row>
    <row r="100" spans="1:15" ht="13">
      <c r="A100" s="33">
        <v>43923.190951111115</v>
      </c>
      <c r="B100" s="35" t="s">
        <v>5864</v>
      </c>
      <c r="C100" s="35" t="s">
        <v>1554</v>
      </c>
      <c r="D100" s="328" t="s">
        <v>5726</v>
      </c>
      <c r="E100" s="38" t="s">
        <v>5865</v>
      </c>
      <c r="F100" s="328" t="s">
        <v>5866</v>
      </c>
      <c r="G100" s="35" t="s">
        <v>709</v>
      </c>
      <c r="H100" s="35" t="s">
        <v>33</v>
      </c>
      <c r="I100" s="35" t="s">
        <v>5867</v>
      </c>
      <c r="J100" s="35" t="s">
        <v>48</v>
      </c>
      <c r="K100" s="328" t="s">
        <v>5868</v>
      </c>
      <c r="L100" s="327"/>
      <c r="M100" s="35" t="s">
        <v>83</v>
      </c>
      <c r="O100" s="35" t="s">
        <v>26</v>
      </c>
    </row>
    <row r="101" spans="1:15" ht="13">
      <c r="A101" s="33">
        <v>43923.227707337966</v>
      </c>
      <c r="B101" s="35" t="s">
        <v>1152</v>
      </c>
      <c r="C101" s="35" t="s">
        <v>211</v>
      </c>
      <c r="D101" s="35" t="s">
        <v>1153</v>
      </c>
      <c r="E101" s="38" t="s">
        <v>1154</v>
      </c>
      <c r="F101" s="35" t="s">
        <v>1155</v>
      </c>
      <c r="G101" s="35" t="s">
        <v>220</v>
      </c>
      <c r="H101" s="35" t="s">
        <v>33</v>
      </c>
      <c r="I101" s="35" t="s">
        <v>1156</v>
      </c>
      <c r="J101" s="35" t="s">
        <v>81</v>
      </c>
      <c r="K101" s="328" t="s">
        <v>1157</v>
      </c>
      <c r="L101" s="328" t="s">
        <v>1158</v>
      </c>
      <c r="M101" s="35" t="s">
        <v>83</v>
      </c>
      <c r="N101" s="328" t="s">
        <v>1159</v>
      </c>
      <c r="O101" s="35" t="s">
        <v>26</v>
      </c>
    </row>
    <row r="102" spans="1:15" ht="13" hidden="1">
      <c r="A102" s="33">
        <v>43923.242335960647</v>
      </c>
      <c r="B102" s="35" t="s">
        <v>1070</v>
      </c>
      <c r="C102" s="35" t="s">
        <v>1071</v>
      </c>
      <c r="D102" s="35" t="s">
        <v>87</v>
      </c>
      <c r="E102" s="38" t="s">
        <v>1072</v>
      </c>
      <c r="F102" s="35" t="s">
        <v>1073</v>
      </c>
      <c r="G102" s="35" t="s">
        <v>63</v>
      </c>
      <c r="H102" s="35" t="s">
        <v>46</v>
      </c>
      <c r="I102" s="35" t="s">
        <v>1075</v>
      </c>
      <c r="J102" s="35" t="s">
        <v>48</v>
      </c>
      <c r="M102" s="35" t="s">
        <v>83</v>
      </c>
      <c r="N102" s="35" t="s">
        <v>826</v>
      </c>
      <c r="O102" s="35" t="s">
        <v>26</v>
      </c>
    </row>
    <row r="103" spans="1:15" ht="13" hidden="1">
      <c r="A103" s="33">
        <v>43923.265340717597</v>
      </c>
      <c r="B103" s="35" t="s">
        <v>1076</v>
      </c>
      <c r="C103" s="35" t="s">
        <v>980</v>
      </c>
      <c r="D103" s="35" t="s">
        <v>1077</v>
      </c>
      <c r="E103" s="38" t="s">
        <v>1078</v>
      </c>
      <c r="F103" s="35" t="s">
        <v>1082</v>
      </c>
      <c r="G103" s="35" t="s">
        <v>394</v>
      </c>
      <c r="H103" s="35" t="s">
        <v>506</v>
      </c>
      <c r="I103" s="35" t="s">
        <v>1083</v>
      </c>
      <c r="J103" s="35" t="s">
        <v>104</v>
      </c>
      <c r="K103" s="35" t="s">
        <v>1085</v>
      </c>
      <c r="L103" s="35" t="s">
        <v>1086</v>
      </c>
      <c r="M103" s="35" t="s">
        <v>83</v>
      </c>
      <c r="N103" s="35" t="s">
        <v>1087</v>
      </c>
      <c r="O103" s="35" t="s">
        <v>26</v>
      </c>
    </row>
    <row r="104" spans="1:15" ht="13" hidden="1">
      <c r="A104" s="33">
        <v>43923.29103443287</v>
      </c>
      <c r="B104" s="35" t="s">
        <v>1088</v>
      </c>
      <c r="C104" s="35" t="s">
        <v>1089</v>
      </c>
      <c r="D104" s="35" t="s">
        <v>1090</v>
      </c>
      <c r="E104" s="38" t="s">
        <v>1091</v>
      </c>
      <c r="F104" s="35" t="s">
        <v>1092</v>
      </c>
      <c r="G104" s="35" t="s">
        <v>394</v>
      </c>
      <c r="H104" s="35" t="s">
        <v>46</v>
      </c>
      <c r="I104" s="35" t="s">
        <v>1093</v>
      </c>
      <c r="J104" s="35" t="s">
        <v>48</v>
      </c>
      <c r="M104" s="35" t="s">
        <v>83</v>
      </c>
      <c r="O104" s="35" t="s">
        <v>26</v>
      </c>
    </row>
    <row r="105" spans="1:15" ht="13" hidden="1">
      <c r="A105" s="33">
        <v>43923.348523321758</v>
      </c>
      <c r="B105" s="35" t="s">
        <v>1094</v>
      </c>
      <c r="C105" s="35" t="s">
        <v>1095</v>
      </c>
      <c r="D105" s="35" t="s">
        <v>87</v>
      </c>
      <c r="E105" s="38" t="s">
        <v>1096</v>
      </c>
      <c r="F105" s="35" t="s">
        <v>1098</v>
      </c>
      <c r="G105" s="35" t="s">
        <v>214</v>
      </c>
      <c r="H105" s="35" t="s">
        <v>126</v>
      </c>
      <c r="I105" s="35" t="s">
        <v>1101</v>
      </c>
      <c r="J105" s="35" t="s">
        <v>81</v>
      </c>
      <c r="M105" s="35" t="s">
        <v>83</v>
      </c>
      <c r="O105" s="35" t="s">
        <v>26</v>
      </c>
    </row>
    <row r="106" spans="1:15" ht="13" hidden="1">
      <c r="A106" s="33">
        <v>43923.396262326394</v>
      </c>
      <c r="B106" s="35" t="s">
        <v>1102</v>
      </c>
      <c r="C106" s="35" t="s">
        <v>1103</v>
      </c>
      <c r="D106" s="35" t="s">
        <v>1104</v>
      </c>
      <c r="E106" s="38" t="s">
        <v>1105</v>
      </c>
      <c r="F106" s="35" t="s">
        <v>1106</v>
      </c>
      <c r="G106" s="35" t="s">
        <v>505</v>
      </c>
      <c r="H106" s="35" t="s">
        <v>46</v>
      </c>
      <c r="I106" s="35" t="s">
        <v>1107</v>
      </c>
      <c r="J106" s="35" t="s">
        <v>48</v>
      </c>
      <c r="K106" s="35" t="s">
        <v>1108</v>
      </c>
      <c r="M106" s="35" t="s">
        <v>83</v>
      </c>
      <c r="O106" s="35" t="s">
        <v>26</v>
      </c>
    </row>
    <row r="107" spans="1:15" ht="13" hidden="1">
      <c r="A107" s="33">
        <v>43923.400370590272</v>
      </c>
      <c r="B107" s="35" t="s">
        <v>1109</v>
      </c>
      <c r="C107" s="35" t="s">
        <v>1110</v>
      </c>
      <c r="D107" s="35" t="s">
        <v>1111</v>
      </c>
      <c r="E107" s="35" t="s">
        <v>1112</v>
      </c>
      <c r="F107" s="35" t="s">
        <v>1113</v>
      </c>
      <c r="G107" s="35" t="s">
        <v>1114</v>
      </c>
      <c r="H107" s="35" t="s">
        <v>46</v>
      </c>
      <c r="I107" s="35" t="s">
        <v>1115</v>
      </c>
      <c r="J107" s="35" t="s">
        <v>48</v>
      </c>
      <c r="K107" s="35" t="s">
        <v>1116</v>
      </c>
      <c r="L107" s="35" t="s">
        <v>1117</v>
      </c>
      <c r="M107" s="35" t="s">
        <v>83</v>
      </c>
      <c r="N107" s="35" t="s">
        <v>1118</v>
      </c>
      <c r="O107" s="35" t="s">
        <v>26</v>
      </c>
    </row>
    <row r="108" spans="1:15" ht="13" hidden="1">
      <c r="A108" s="33">
        <v>43923.429458657411</v>
      </c>
      <c r="B108" s="35" t="s">
        <v>1119</v>
      </c>
      <c r="C108" s="35" t="s">
        <v>71</v>
      </c>
      <c r="D108" s="35" t="s">
        <v>1120</v>
      </c>
      <c r="E108" s="35" t="s">
        <v>1121</v>
      </c>
      <c r="F108" s="35" t="s">
        <v>1122</v>
      </c>
      <c r="G108" s="35" t="s">
        <v>161</v>
      </c>
      <c r="H108" s="35" t="s">
        <v>46</v>
      </c>
      <c r="I108" s="35" t="s">
        <v>1123</v>
      </c>
      <c r="J108" s="35" t="s">
        <v>48</v>
      </c>
      <c r="K108" s="35" t="s">
        <v>1124</v>
      </c>
      <c r="M108" s="35" t="s">
        <v>83</v>
      </c>
      <c r="O108" s="35" t="s">
        <v>26</v>
      </c>
    </row>
    <row r="109" spans="1:15" ht="13">
      <c r="A109" s="33">
        <v>43923.440110266209</v>
      </c>
      <c r="B109" s="35" t="s">
        <v>9569</v>
      </c>
      <c r="C109" s="324" t="s">
        <v>211</v>
      </c>
      <c r="D109" s="324" t="s">
        <v>6286</v>
      </c>
      <c r="E109" s="323" t="s">
        <v>9570</v>
      </c>
      <c r="F109" s="327"/>
      <c r="G109" s="324" t="s">
        <v>9568</v>
      </c>
      <c r="H109" s="324" t="s">
        <v>33</v>
      </c>
      <c r="I109" s="324" t="s">
        <v>9546</v>
      </c>
      <c r="J109" s="324" t="s">
        <v>48</v>
      </c>
      <c r="K109" s="327"/>
      <c r="L109" s="327"/>
      <c r="M109" s="324" t="s">
        <v>83</v>
      </c>
      <c r="N109" s="324" t="s">
        <v>9551</v>
      </c>
      <c r="O109" s="35" t="s">
        <v>26</v>
      </c>
    </row>
    <row r="110" spans="1:15" ht="13" hidden="1">
      <c r="A110" s="33">
        <v>43923.565337442131</v>
      </c>
      <c r="B110" s="35" t="s">
        <v>1135</v>
      </c>
      <c r="C110" s="35" t="s">
        <v>1136</v>
      </c>
      <c r="D110" s="35" t="s">
        <v>1137</v>
      </c>
      <c r="E110" s="38" t="s">
        <v>1138</v>
      </c>
      <c r="F110" s="35" t="s">
        <v>1139</v>
      </c>
      <c r="G110" s="35" t="s">
        <v>118</v>
      </c>
      <c r="H110" s="35" t="s">
        <v>1140</v>
      </c>
      <c r="I110" s="35" t="s">
        <v>425</v>
      </c>
      <c r="J110" s="35" t="s">
        <v>305</v>
      </c>
      <c r="M110" s="35" t="s">
        <v>67</v>
      </c>
      <c r="N110" s="35" t="s">
        <v>1141</v>
      </c>
      <c r="O110" s="35" t="s">
        <v>26</v>
      </c>
    </row>
    <row r="111" spans="1:15" ht="13" hidden="1">
      <c r="A111" s="33">
        <v>43923.67947043982</v>
      </c>
      <c r="B111" s="35" t="s">
        <v>1142</v>
      </c>
      <c r="C111" s="35" t="s">
        <v>354</v>
      </c>
      <c r="D111" s="35" t="s">
        <v>1143</v>
      </c>
      <c r="E111" s="38" t="s">
        <v>1145</v>
      </c>
      <c r="F111" s="35" t="s">
        <v>1148</v>
      </c>
      <c r="G111" s="35" t="s">
        <v>519</v>
      </c>
      <c r="H111" s="35" t="s">
        <v>46</v>
      </c>
      <c r="I111" s="35" t="s">
        <v>1149</v>
      </c>
      <c r="J111" s="35" t="s">
        <v>35</v>
      </c>
      <c r="K111" s="35" t="s">
        <v>1150</v>
      </c>
      <c r="M111" s="35" t="s">
        <v>67</v>
      </c>
      <c r="N111" s="35" t="s">
        <v>1151</v>
      </c>
      <c r="O111" s="35" t="s">
        <v>26</v>
      </c>
    </row>
    <row r="112" spans="1:15" ht="13">
      <c r="A112" s="33">
        <v>43923.795050682871</v>
      </c>
      <c r="B112" s="35" t="s">
        <v>9573</v>
      </c>
      <c r="C112" s="324" t="s">
        <v>9574</v>
      </c>
      <c r="D112" s="324" t="s">
        <v>6286</v>
      </c>
      <c r="E112" s="323" t="s">
        <v>9575</v>
      </c>
      <c r="F112" s="327"/>
      <c r="G112" s="324" t="s">
        <v>9568</v>
      </c>
      <c r="H112" s="324" t="s">
        <v>33</v>
      </c>
      <c r="I112" s="324" t="s">
        <v>9546</v>
      </c>
      <c r="J112" s="324" t="s">
        <v>48</v>
      </c>
      <c r="K112" s="327"/>
      <c r="L112" s="327"/>
      <c r="M112" s="324" t="s">
        <v>83</v>
      </c>
      <c r="N112" s="324" t="s">
        <v>9551</v>
      </c>
      <c r="O112" s="35" t="s">
        <v>26</v>
      </c>
    </row>
    <row r="113" spans="1:15" ht="13" hidden="1">
      <c r="A113" s="33">
        <v>43923.795762766204</v>
      </c>
      <c r="B113" s="35" t="s">
        <v>1160</v>
      </c>
      <c r="C113" s="35" t="s">
        <v>1161</v>
      </c>
      <c r="D113" s="35" t="s">
        <v>1163</v>
      </c>
      <c r="E113" s="38" t="s">
        <v>1164</v>
      </c>
      <c r="F113" s="35" t="s">
        <v>1166</v>
      </c>
      <c r="G113" s="35" t="s">
        <v>1167</v>
      </c>
      <c r="H113" s="35" t="s">
        <v>46</v>
      </c>
      <c r="I113" s="35" t="s">
        <v>1168</v>
      </c>
      <c r="J113" s="35" t="s">
        <v>104</v>
      </c>
      <c r="M113" s="35" t="s">
        <v>83</v>
      </c>
      <c r="N113" s="35" t="s">
        <v>1169</v>
      </c>
      <c r="O113" s="35" t="s">
        <v>26</v>
      </c>
    </row>
    <row r="114" spans="1:15" ht="13">
      <c r="A114" s="33">
        <v>43923.811009675926</v>
      </c>
      <c r="B114" s="35" t="s">
        <v>2208</v>
      </c>
      <c r="C114" s="35" t="s">
        <v>2209</v>
      </c>
      <c r="D114" s="35" t="s">
        <v>1153</v>
      </c>
      <c r="E114" s="38" t="s">
        <v>2210</v>
      </c>
      <c r="F114" s="35" t="s">
        <v>2212</v>
      </c>
      <c r="G114" s="35" t="s">
        <v>220</v>
      </c>
      <c r="H114" s="35" t="s">
        <v>33</v>
      </c>
      <c r="I114" s="35" t="s">
        <v>2213</v>
      </c>
      <c r="J114" s="35" t="s">
        <v>81</v>
      </c>
      <c r="K114" s="328" t="s">
        <v>2214</v>
      </c>
      <c r="L114" s="327"/>
      <c r="M114" s="35" t="s">
        <v>83</v>
      </c>
      <c r="N114" s="35" t="s">
        <v>2215</v>
      </c>
      <c r="O114" s="35" t="s">
        <v>26</v>
      </c>
    </row>
    <row r="115" spans="1:15" ht="13" hidden="1">
      <c r="A115" s="33">
        <v>43923.811467824074</v>
      </c>
      <c r="B115" s="35" t="s">
        <v>1180</v>
      </c>
      <c r="C115" s="35" t="s">
        <v>1181</v>
      </c>
      <c r="D115" s="35" t="s">
        <v>1182</v>
      </c>
      <c r="E115" s="38" t="s">
        <v>1183</v>
      </c>
      <c r="F115" s="35" t="s">
        <v>1184</v>
      </c>
      <c r="G115" s="35" t="s">
        <v>1185</v>
      </c>
      <c r="H115" s="35" t="s">
        <v>46</v>
      </c>
      <c r="I115" s="35" t="s">
        <v>1186</v>
      </c>
      <c r="J115" s="35" t="s">
        <v>48</v>
      </c>
      <c r="M115" s="35" t="s">
        <v>83</v>
      </c>
      <c r="N115" s="35" t="s">
        <v>1187</v>
      </c>
      <c r="O115" s="35" t="s">
        <v>26</v>
      </c>
    </row>
    <row r="116" spans="1:15" ht="13" hidden="1">
      <c r="A116" s="33">
        <v>43923.813501898148</v>
      </c>
      <c r="B116" s="35" t="s">
        <v>1189</v>
      </c>
      <c r="C116" s="35" t="s">
        <v>1190</v>
      </c>
      <c r="D116" s="35" t="s">
        <v>1191</v>
      </c>
      <c r="E116" s="38" t="s">
        <v>1192</v>
      </c>
      <c r="F116" s="35" t="s">
        <v>1193</v>
      </c>
      <c r="G116" s="35" t="s">
        <v>214</v>
      </c>
      <c r="H116" s="35" t="s">
        <v>46</v>
      </c>
      <c r="I116" s="35" t="s">
        <v>1194</v>
      </c>
      <c r="J116" s="35" t="s">
        <v>104</v>
      </c>
      <c r="M116" s="35" t="s">
        <v>67</v>
      </c>
      <c r="O116" s="35" t="s">
        <v>26</v>
      </c>
    </row>
    <row r="117" spans="1:15" ht="13" hidden="1">
      <c r="A117" s="33">
        <v>43923.822594212965</v>
      </c>
      <c r="B117" s="35" t="s">
        <v>1195</v>
      </c>
      <c r="C117" s="35" t="s">
        <v>1196</v>
      </c>
      <c r="D117" s="35" t="s">
        <v>1197</v>
      </c>
      <c r="E117" s="38" t="s">
        <v>1198</v>
      </c>
      <c r="F117" s="35" t="s">
        <v>1203</v>
      </c>
      <c r="G117" s="35" t="s">
        <v>1204</v>
      </c>
      <c r="H117" s="35" t="s">
        <v>46</v>
      </c>
      <c r="I117" s="35" t="s">
        <v>485</v>
      </c>
      <c r="J117" s="35" t="s">
        <v>35</v>
      </c>
      <c r="M117" s="35" t="s">
        <v>83</v>
      </c>
      <c r="N117" s="35" t="s">
        <v>1208</v>
      </c>
      <c r="O117" s="35" t="s">
        <v>26</v>
      </c>
    </row>
    <row r="118" spans="1:15" ht="13" hidden="1">
      <c r="A118" s="33">
        <v>43923.830447280096</v>
      </c>
      <c r="B118" s="35" t="s">
        <v>1209</v>
      </c>
      <c r="C118" s="35" t="s">
        <v>1210</v>
      </c>
      <c r="D118" s="35" t="s">
        <v>1211</v>
      </c>
      <c r="E118" s="38" t="s">
        <v>1212</v>
      </c>
      <c r="F118" s="35" t="s">
        <v>1213</v>
      </c>
      <c r="G118" s="35" t="s">
        <v>363</v>
      </c>
      <c r="H118" s="35" t="s">
        <v>46</v>
      </c>
      <c r="I118" s="35" t="s">
        <v>1214</v>
      </c>
      <c r="J118" s="35" t="s">
        <v>48</v>
      </c>
      <c r="M118" s="35" t="s">
        <v>83</v>
      </c>
      <c r="N118" s="35" t="s">
        <v>68</v>
      </c>
      <c r="O118" s="35" t="s">
        <v>26</v>
      </c>
    </row>
    <row r="119" spans="1:15" ht="13" hidden="1">
      <c r="A119" s="33">
        <v>43923.884108356477</v>
      </c>
      <c r="B119" s="35" t="s">
        <v>1215</v>
      </c>
      <c r="C119" s="35" t="s">
        <v>1217</v>
      </c>
      <c r="D119" s="35" t="s">
        <v>1218</v>
      </c>
      <c r="E119" s="38" t="s">
        <v>1219</v>
      </c>
      <c r="F119" s="35" t="s">
        <v>1220</v>
      </c>
      <c r="G119" s="35" t="s">
        <v>1221</v>
      </c>
      <c r="H119" s="35" t="s">
        <v>46</v>
      </c>
      <c r="I119" s="35" t="s">
        <v>1223</v>
      </c>
      <c r="J119" s="35" t="s">
        <v>81</v>
      </c>
      <c r="K119" s="35" t="s">
        <v>1224</v>
      </c>
      <c r="L119" s="35" t="s">
        <v>1226</v>
      </c>
      <c r="M119" s="35" t="s">
        <v>83</v>
      </c>
      <c r="O119" s="35" t="s">
        <v>26</v>
      </c>
    </row>
    <row r="120" spans="1:15" ht="13">
      <c r="A120" s="33">
        <v>43923.89283916667</v>
      </c>
      <c r="B120" s="35" t="s">
        <v>1757</v>
      </c>
      <c r="C120" s="35" t="s">
        <v>1758</v>
      </c>
      <c r="D120" s="328" t="s">
        <v>1759</v>
      </c>
      <c r="E120" s="38" t="s">
        <v>1760</v>
      </c>
      <c r="F120" s="328" t="s">
        <v>1761</v>
      </c>
      <c r="G120" s="35" t="s">
        <v>709</v>
      </c>
      <c r="H120" s="35" t="s">
        <v>33</v>
      </c>
      <c r="I120" s="35" t="s">
        <v>1762</v>
      </c>
      <c r="J120" s="35" t="s">
        <v>104</v>
      </c>
      <c r="K120" s="328" t="s">
        <v>1762</v>
      </c>
      <c r="L120" s="328" t="s">
        <v>1763</v>
      </c>
      <c r="M120" s="35" t="s">
        <v>83</v>
      </c>
      <c r="N120" s="328" t="s">
        <v>1420</v>
      </c>
      <c r="O120" s="35" t="s">
        <v>26</v>
      </c>
    </row>
    <row r="121" spans="1:15" ht="13" hidden="1">
      <c r="A121" s="33">
        <v>43923.895450914351</v>
      </c>
      <c r="B121" s="35" t="s">
        <v>1238</v>
      </c>
      <c r="C121" s="35" t="s">
        <v>1239</v>
      </c>
      <c r="D121" s="35" t="s">
        <v>1240</v>
      </c>
      <c r="E121" s="38" t="s">
        <v>1241</v>
      </c>
      <c r="F121" s="35" t="s">
        <v>1244</v>
      </c>
      <c r="G121" s="35" t="s">
        <v>363</v>
      </c>
      <c r="H121" s="35" t="s">
        <v>46</v>
      </c>
      <c r="I121" s="35" t="s">
        <v>1245</v>
      </c>
      <c r="J121" s="35" t="s">
        <v>48</v>
      </c>
      <c r="M121" s="35" t="s">
        <v>83</v>
      </c>
      <c r="N121" s="35" t="s">
        <v>92</v>
      </c>
      <c r="O121" s="35" t="s">
        <v>26</v>
      </c>
    </row>
    <row r="122" spans="1:15" ht="13" hidden="1">
      <c r="A122" s="33">
        <v>43923.89737770833</v>
      </c>
      <c r="B122" s="35" t="s">
        <v>1246</v>
      </c>
      <c r="C122" s="35" t="s">
        <v>1247</v>
      </c>
      <c r="D122" s="35" t="s">
        <v>1248</v>
      </c>
      <c r="E122" s="38" t="s">
        <v>1249</v>
      </c>
      <c r="F122" s="35" t="s">
        <v>1250</v>
      </c>
      <c r="G122" s="35" t="s">
        <v>394</v>
      </c>
      <c r="H122" s="35" t="s">
        <v>506</v>
      </c>
      <c r="I122" s="35" t="s">
        <v>388</v>
      </c>
      <c r="J122" s="35" t="s">
        <v>48</v>
      </c>
      <c r="K122" s="35" t="s">
        <v>1251</v>
      </c>
      <c r="L122" s="35" t="s">
        <v>1252</v>
      </c>
      <c r="M122" s="35" t="s">
        <v>83</v>
      </c>
      <c r="O122" s="35" t="s">
        <v>26</v>
      </c>
    </row>
    <row r="123" spans="1:15" ht="13" hidden="1">
      <c r="A123" s="33">
        <v>43923.899337175928</v>
      </c>
      <c r="B123" s="35" t="s">
        <v>1253</v>
      </c>
      <c r="C123" s="35" t="s">
        <v>1254</v>
      </c>
      <c r="D123" s="35" t="s">
        <v>1248</v>
      </c>
      <c r="E123" s="38" t="s">
        <v>1255</v>
      </c>
      <c r="F123" s="35" t="s">
        <v>1258</v>
      </c>
      <c r="G123" s="35" t="s">
        <v>394</v>
      </c>
      <c r="H123" s="35" t="s">
        <v>506</v>
      </c>
      <c r="I123" s="35" t="s">
        <v>1260</v>
      </c>
      <c r="J123" s="35" t="s">
        <v>104</v>
      </c>
      <c r="K123" s="35" t="s">
        <v>1262</v>
      </c>
      <c r="L123" s="35" t="s">
        <v>1264</v>
      </c>
      <c r="M123" s="35" t="s">
        <v>83</v>
      </c>
      <c r="O123" s="35" t="s">
        <v>26</v>
      </c>
    </row>
    <row r="124" spans="1:15" ht="13">
      <c r="A124" s="33">
        <v>43923.912925289347</v>
      </c>
      <c r="B124" s="35" t="s">
        <v>2784</v>
      </c>
      <c r="C124" s="35" t="s">
        <v>1758</v>
      </c>
      <c r="D124" s="35" t="s">
        <v>2380</v>
      </c>
      <c r="E124" s="38" t="s">
        <v>2786</v>
      </c>
      <c r="F124" s="35" t="s">
        <v>2787</v>
      </c>
      <c r="G124" s="35" t="s">
        <v>214</v>
      </c>
      <c r="H124" s="35" t="s">
        <v>33</v>
      </c>
      <c r="I124" s="35" t="s">
        <v>2788</v>
      </c>
      <c r="J124" s="35" t="s">
        <v>48</v>
      </c>
      <c r="M124" s="35" t="s">
        <v>83</v>
      </c>
      <c r="N124" s="328" t="s">
        <v>2789</v>
      </c>
      <c r="O124" s="35" t="s">
        <v>26</v>
      </c>
    </row>
    <row r="125" spans="1:15" ht="13">
      <c r="A125" s="33">
        <v>43923.940538518524</v>
      </c>
      <c r="B125" s="35" t="s">
        <v>5205</v>
      </c>
      <c r="C125" s="35" t="s">
        <v>1758</v>
      </c>
      <c r="D125" s="35" t="s">
        <v>1566</v>
      </c>
      <c r="E125" s="38" t="s">
        <v>5206</v>
      </c>
      <c r="F125" s="35" t="s">
        <v>5208</v>
      </c>
      <c r="G125" s="35" t="s">
        <v>220</v>
      </c>
      <c r="H125" s="35" t="s">
        <v>33</v>
      </c>
      <c r="I125" s="35" t="s">
        <v>5209</v>
      </c>
      <c r="J125" s="35" t="s">
        <v>48</v>
      </c>
      <c r="M125" s="35" t="s">
        <v>67</v>
      </c>
      <c r="N125" s="327"/>
      <c r="O125" s="35" t="s">
        <v>26</v>
      </c>
    </row>
    <row r="126" spans="1:15" ht="13">
      <c r="A126" s="33">
        <v>43923.944490706017</v>
      </c>
      <c r="B126" s="35" t="s">
        <v>5650</v>
      </c>
      <c r="C126" s="35" t="s">
        <v>1758</v>
      </c>
      <c r="D126" s="328" t="s">
        <v>5651</v>
      </c>
      <c r="E126" s="38" t="s">
        <v>5652</v>
      </c>
      <c r="F126" s="35" t="s">
        <v>5653</v>
      </c>
      <c r="G126" s="35" t="s">
        <v>709</v>
      </c>
      <c r="H126" s="35" t="s">
        <v>33</v>
      </c>
      <c r="I126" s="35" t="s">
        <v>5655</v>
      </c>
      <c r="J126" s="35" t="s">
        <v>48</v>
      </c>
      <c r="K126" s="35" t="s">
        <v>5657</v>
      </c>
      <c r="L126" s="328" t="s">
        <v>5658</v>
      </c>
      <c r="M126" s="35" t="s">
        <v>83</v>
      </c>
      <c r="O126" s="35" t="s">
        <v>26</v>
      </c>
    </row>
    <row r="127" spans="1:15" ht="13" hidden="1">
      <c r="A127" s="33">
        <v>43923.95844195602</v>
      </c>
      <c r="B127" s="35" t="s">
        <v>1287</v>
      </c>
      <c r="C127" s="35" t="s">
        <v>1288</v>
      </c>
      <c r="D127" s="35" t="s">
        <v>1289</v>
      </c>
      <c r="E127" s="38" t="s">
        <v>1290</v>
      </c>
      <c r="F127" s="35" t="s">
        <v>1297</v>
      </c>
      <c r="G127" s="35" t="s">
        <v>188</v>
      </c>
      <c r="H127" s="35" t="s">
        <v>399</v>
      </c>
      <c r="I127" s="35" t="s">
        <v>1299</v>
      </c>
      <c r="J127" s="35" t="s">
        <v>48</v>
      </c>
      <c r="K127" s="35" t="s">
        <v>389</v>
      </c>
      <c r="L127" s="35" t="s">
        <v>1300</v>
      </c>
      <c r="M127" s="35" t="s">
        <v>67</v>
      </c>
      <c r="O127" s="35" t="s">
        <v>26</v>
      </c>
    </row>
    <row r="128" spans="1:15" ht="13">
      <c r="A128" s="33">
        <v>43923.959517291667</v>
      </c>
      <c r="B128" s="35" t="s">
        <v>6239</v>
      </c>
      <c r="C128" s="35" t="s">
        <v>1758</v>
      </c>
      <c r="D128" s="328" t="s">
        <v>6240</v>
      </c>
      <c r="E128" s="38" t="s">
        <v>6241</v>
      </c>
      <c r="F128" s="35" t="s">
        <v>6242</v>
      </c>
      <c r="G128" s="35" t="s">
        <v>709</v>
      </c>
      <c r="H128" s="35" t="s">
        <v>33</v>
      </c>
      <c r="I128" s="35" t="s">
        <v>6243</v>
      </c>
      <c r="J128" s="35" t="s">
        <v>48</v>
      </c>
      <c r="K128" s="327"/>
      <c r="L128" s="327"/>
      <c r="M128" s="35" t="s">
        <v>67</v>
      </c>
      <c r="N128" s="327"/>
      <c r="O128" s="35" t="s">
        <v>26</v>
      </c>
    </row>
    <row r="129" spans="1:15" ht="13">
      <c r="A129" s="33">
        <v>43923.972866666663</v>
      </c>
      <c r="B129" s="35" t="s">
        <v>8726</v>
      </c>
      <c r="C129" s="35" t="s">
        <v>1758</v>
      </c>
      <c r="D129" s="35" t="s">
        <v>8727</v>
      </c>
      <c r="E129" s="38" t="s">
        <v>8728</v>
      </c>
      <c r="F129" s="327"/>
      <c r="G129" s="35" t="s">
        <v>739</v>
      </c>
      <c r="H129" s="35" t="s">
        <v>33</v>
      </c>
      <c r="I129" s="35" t="s">
        <v>8732</v>
      </c>
      <c r="J129" s="35" t="s">
        <v>81</v>
      </c>
      <c r="K129" s="327"/>
      <c r="L129" s="327"/>
      <c r="M129" s="35" t="s">
        <v>67</v>
      </c>
      <c r="O129" s="35" t="s">
        <v>26</v>
      </c>
    </row>
    <row r="130" spans="1:15" ht="13" hidden="1">
      <c r="A130" s="33">
        <v>43923.991355393518</v>
      </c>
      <c r="B130" s="35" t="s">
        <v>1321</v>
      </c>
      <c r="C130" s="35" t="s">
        <v>1322</v>
      </c>
      <c r="D130" s="38" t="s">
        <v>197</v>
      </c>
      <c r="E130" s="38" t="s">
        <v>1323</v>
      </c>
      <c r="F130" s="35" t="s">
        <v>1324</v>
      </c>
      <c r="G130" s="35" t="s">
        <v>1325</v>
      </c>
      <c r="H130" s="35" t="s">
        <v>46</v>
      </c>
      <c r="I130" s="35" t="s">
        <v>1326</v>
      </c>
      <c r="J130" s="35" t="s">
        <v>48</v>
      </c>
      <c r="K130" s="35" t="s">
        <v>1327</v>
      </c>
      <c r="M130" s="35" t="s">
        <v>83</v>
      </c>
      <c r="N130" s="35" t="s">
        <v>68</v>
      </c>
      <c r="O130" s="35" t="s">
        <v>26</v>
      </c>
    </row>
    <row r="131" spans="1:15" ht="15">
      <c r="A131" s="33">
        <v>43923.999342673611</v>
      </c>
      <c r="B131" s="35" t="s">
        <v>9404</v>
      </c>
      <c r="C131" s="35" t="s">
        <v>1758</v>
      </c>
      <c r="D131" s="35" t="s">
        <v>9405</v>
      </c>
      <c r="E131" s="318" t="s">
        <v>9406</v>
      </c>
      <c r="F131" s="327"/>
      <c r="G131" s="35" t="s">
        <v>709</v>
      </c>
      <c r="H131" s="313" t="s">
        <v>33</v>
      </c>
      <c r="I131" s="313" t="s">
        <v>9389</v>
      </c>
      <c r="J131" s="327"/>
      <c r="K131" s="327"/>
      <c r="L131" s="327"/>
      <c r="M131" s="299" t="s">
        <v>67</v>
      </c>
      <c r="N131" s="327"/>
      <c r="O131" s="35" t="s">
        <v>26</v>
      </c>
    </row>
    <row r="132" spans="1:15" ht="13">
      <c r="A132" s="33">
        <v>43924.00991537037</v>
      </c>
      <c r="B132" s="35" t="s">
        <v>9440</v>
      </c>
      <c r="C132" s="35" t="s">
        <v>1758</v>
      </c>
      <c r="D132" s="35" t="s">
        <v>2380</v>
      </c>
      <c r="E132" s="304" t="s">
        <v>9441</v>
      </c>
      <c r="F132" s="35" t="s">
        <v>9442</v>
      </c>
      <c r="G132" s="35" t="s">
        <v>9443</v>
      </c>
      <c r="H132" s="35" t="s">
        <v>33</v>
      </c>
      <c r="I132" s="319" t="s">
        <v>9423</v>
      </c>
      <c r="J132" s="327"/>
      <c r="M132" s="327"/>
      <c r="O132" s="35" t="s">
        <v>26</v>
      </c>
    </row>
    <row r="133" spans="1:15" ht="13">
      <c r="A133" s="33">
        <v>43924.013916840282</v>
      </c>
      <c r="B133" s="35" t="s">
        <v>6030</v>
      </c>
      <c r="C133" s="35" t="s">
        <v>6031</v>
      </c>
      <c r="D133" s="35" t="s">
        <v>6032</v>
      </c>
      <c r="E133" s="38" t="s">
        <v>6033</v>
      </c>
      <c r="F133" s="328" t="s">
        <v>6034</v>
      </c>
      <c r="G133" s="35" t="s">
        <v>220</v>
      </c>
      <c r="H133" s="35" t="s">
        <v>33</v>
      </c>
      <c r="I133" s="35" t="s">
        <v>3022</v>
      </c>
      <c r="J133" s="35" t="s">
        <v>81</v>
      </c>
      <c r="K133" s="327"/>
      <c r="L133" s="327"/>
      <c r="M133" s="35" t="s">
        <v>67</v>
      </c>
      <c r="N133" s="327"/>
      <c r="O133" s="35" t="s">
        <v>26</v>
      </c>
    </row>
    <row r="134" spans="1:15" ht="13">
      <c r="A134" s="33">
        <v>43924.022103368057</v>
      </c>
      <c r="B134" s="35" t="s">
        <v>3025</v>
      </c>
      <c r="C134" s="35" t="s">
        <v>3027</v>
      </c>
      <c r="D134" s="35" t="s">
        <v>3028</v>
      </c>
      <c r="E134" s="38" t="s">
        <v>3029</v>
      </c>
      <c r="F134" s="35" t="s">
        <v>3030</v>
      </c>
      <c r="G134" s="35" t="s">
        <v>709</v>
      </c>
      <c r="H134" s="35" t="s">
        <v>33</v>
      </c>
      <c r="I134" s="35" t="s">
        <v>3031</v>
      </c>
      <c r="J134" s="35" t="s">
        <v>48</v>
      </c>
      <c r="K134" s="35" t="s">
        <v>3032</v>
      </c>
      <c r="L134" s="328" t="s">
        <v>3033</v>
      </c>
      <c r="M134" s="35" t="s">
        <v>67</v>
      </c>
      <c r="O134" s="35" t="s">
        <v>26</v>
      </c>
    </row>
    <row r="135" spans="1:15" ht="13" hidden="1">
      <c r="A135" s="33">
        <v>43924.02800770833</v>
      </c>
      <c r="B135" s="35" t="s">
        <v>1365</v>
      </c>
      <c r="C135" s="35" t="s">
        <v>875</v>
      </c>
      <c r="D135" s="35" t="s">
        <v>1366</v>
      </c>
      <c r="E135" s="38" t="s">
        <v>1367</v>
      </c>
      <c r="F135" s="35" t="s">
        <v>1369</v>
      </c>
      <c r="G135" s="35" t="s">
        <v>63</v>
      </c>
      <c r="H135" s="35" t="s">
        <v>46</v>
      </c>
      <c r="I135" s="35" t="s">
        <v>425</v>
      </c>
      <c r="J135" s="35" t="s">
        <v>104</v>
      </c>
      <c r="M135" s="35" t="s">
        <v>67</v>
      </c>
      <c r="O135" s="35" t="s">
        <v>26</v>
      </c>
    </row>
    <row r="136" spans="1:15" ht="13" hidden="1">
      <c r="A136" s="33">
        <v>43924.032503310184</v>
      </c>
      <c r="B136" s="35" t="s">
        <v>1370</v>
      </c>
      <c r="C136" s="35" t="s">
        <v>1371</v>
      </c>
      <c r="D136" s="35" t="s">
        <v>1372</v>
      </c>
      <c r="E136" s="38" t="s">
        <v>1373</v>
      </c>
      <c r="F136" s="35" t="s">
        <v>1380</v>
      </c>
      <c r="G136" s="35" t="s">
        <v>1381</v>
      </c>
      <c r="H136" s="35" t="s">
        <v>46</v>
      </c>
      <c r="I136" s="35" t="s">
        <v>1382</v>
      </c>
      <c r="J136" s="35" t="s">
        <v>35</v>
      </c>
      <c r="K136" s="35" t="s">
        <v>1383</v>
      </c>
      <c r="M136" s="35" t="s">
        <v>83</v>
      </c>
      <c r="N136" s="35" t="s">
        <v>1384</v>
      </c>
      <c r="O136" s="35" t="s">
        <v>26</v>
      </c>
    </row>
    <row r="137" spans="1:15" ht="13" hidden="1">
      <c r="A137" s="33">
        <v>43924.033959074077</v>
      </c>
      <c r="B137" s="35" t="s">
        <v>1385</v>
      </c>
      <c r="C137" s="35" t="s">
        <v>1386</v>
      </c>
      <c r="D137" s="35" t="s">
        <v>1387</v>
      </c>
      <c r="E137" s="38" t="s">
        <v>1388</v>
      </c>
      <c r="F137" s="35" t="s">
        <v>1390</v>
      </c>
      <c r="G137" s="35" t="s">
        <v>1391</v>
      </c>
      <c r="H137" s="35" t="s">
        <v>46</v>
      </c>
      <c r="I137" s="35" t="s">
        <v>15</v>
      </c>
      <c r="J137" s="35" t="s">
        <v>81</v>
      </c>
      <c r="K137" s="35" t="s">
        <v>1393</v>
      </c>
      <c r="L137" s="35" t="s">
        <v>1395</v>
      </c>
      <c r="M137" s="35" t="s">
        <v>67</v>
      </c>
      <c r="N137" s="35" t="s">
        <v>826</v>
      </c>
      <c r="O137" s="35" t="s">
        <v>26</v>
      </c>
    </row>
    <row r="138" spans="1:15" ht="13">
      <c r="A138" s="33">
        <v>43924.08116987269</v>
      </c>
      <c r="B138" s="35" t="s">
        <v>9050</v>
      </c>
      <c r="C138" s="35" t="s">
        <v>9051</v>
      </c>
      <c r="D138" s="35" t="s">
        <v>9052</v>
      </c>
      <c r="E138" s="38" t="s">
        <v>9053</v>
      </c>
      <c r="F138" s="327"/>
      <c r="G138" s="35" t="s">
        <v>9055</v>
      </c>
      <c r="H138" s="35" t="s">
        <v>33</v>
      </c>
      <c r="I138" s="35" t="s">
        <v>425</v>
      </c>
      <c r="J138" s="35" t="s">
        <v>35</v>
      </c>
      <c r="K138" s="328" t="s">
        <v>9056</v>
      </c>
      <c r="L138" s="328" t="s">
        <v>9057</v>
      </c>
      <c r="M138" s="35" t="s">
        <v>83</v>
      </c>
      <c r="N138" s="328" t="s">
        <v>9058</v>
      </c>
      <c r="O138" s="35" t="s">
        <v>26</v>
      </c>
    </row>
    <row r="139" spans="1:15" ht="13" hidden="1">
      <c r="A139" s="33">
        <v>43924.087817511579</v>
      </c>
      <c r="B139" s="35" t="s">
        <v>1406</v>
      </c>
      <c r="C139" s="35" t="s">
        <v>1407</v>
      </c>
      <c r="D139" s="35" t="s">
        <v>1240</v>
      </c>
      <c r="E139" s="38" t="s">
        <v>1408</v>
      </c>
      <c r="F139" s="35" t="s">
        <v>1409</v>
      </c>
      <c r="G139" s="35" t="s">
        <v>1185</v>
      </c>
      <c r="H139" s="35" t="s">
        <v>46</v>
      </c>
      <c r="I139" s="35" t="s">
        <v>1410</v>
      </c>
      <c r="J139" s="35" t="s">
        <v>48</v>
      </c>
      <c r="K139" s="35" t="s">
        <v>1411</v>
      </c>
      <c r="M139" s="35" t="s">
        <v>67</v>
      </c>
      <c r="N139" s="35" t="s">
        <v>1412</v>
      </c>
      <c r="O139" s="35" t="s">
        <v>26</v>
      </c>
    </row>
    <row r="140" spans="1:15" ht="13">
      <c r="A140" s="33">
        <v>43924.097085312504</v>
      </c>
      <c r="B140" s="35" t="s">
        <v>5080</v>
      </c>
      <c r="C140" s="35" t="s">
        <v>5081</v>
      </c>
      <c r="D140" s="35" t="s">
        <v>5063</v>
      </c>
      <c r="E140" s="38" t="s">
        <v>5082</v>
      </c>
      <c r="F140" s="35" t="s">
        <v>5083</v>
      </c>
      <c r="G140" s="35" t="s">
        <v>278</v>
      </c>
      <c r="H140" s="35" t="s">
        <v>33</v>
      </c>
      <c r="I140" s="35" t="s">
        <v>5084</v>
      </c>
      <c r="J140" s="35" t="s">
        <v>48</v>
      </c>
      <c r="K140" s="35" t="s">
        <v>5085</v>
      </c>
      <c r="L140" s="35" t="s">
        <v>5086</v>
      </c>
      <c r="M140" s="35" t="s">
        <v>83</v>
      </c>
      <c r="N140" s="327"/>
      <c r="O140" s="35" t="s">
        <v>26</v>
      </c>
    </row>
    <row r="141" spans="1:15" ht="13" hidden="1">
      <c r="A141" s="33">
        <v>43924.127977395838</v>
      </c>
      <c r="B141" s="35" t="s">
        <v>1421</v>
      </c>
      <c r="C141" s="35" t="s">
        <v>1422</v>
      </c>
      <c r="D141" s="35" t="s">
        <v>1423</v>
      </c>
      <c r="E141" s="38" t="s">
        <v>1424</v>
      </c>
      <c r="F141" s="35" t="s">
        <v>1429</v>
      </c>
      <c r="G141" s="35" t="s">
        <v>519</v>
      </c>
      <c r="H141" s="35" t="s">
        <v>46</v>
      </c>
      <c r="I141" s="35" t="s">
        <v>1430</v>
      </c>
      <c r="J141" s="35" t="s">
        <v>35</v>
      </c>
      <c r="K141" s="35" t="s">
        <v>1431</v>
      </c>
      <c r="L141" s="35" t="s">
        <v>1432</v>
      </c>
      <c r="M141" s="35" t="s">
        <v>83</v>
      </c>
      <c r="N141" s="35" t="s">
        <v>68</v>
      </c>
      <c r="O141" s="35" t="s">
        <v>26</v>
      </c>
    </row>
    <row r="142" spans="1:15" ht="13" hidden="1">
      <c r="A142" s="33">
        <v>43924.143169398143</v>
      </c>
      <c r="B142" s="35" t="s">
        <v>1433</v>
      </c>
      <c r="C142" s="35" t="s">
        <v>1434</v>
      </c>
      <c r="D142" s="35" t="s">
        <v>1435</v>
      </c>
      <c r="E142" s="38" t="s">
        <v>1436</v>
      </c>
      <c r="F142" s="35" t="s">
        <v>1437</v>
      </c>
      <c r="G142" s="35" t="s">
        <v>1438</v>
      </c>
      <c r="H142" s="35" t="s">
        <v>387</v>
      </c>
      <c r="I142" s="35" t="s">
        <v>1440</v>
      </c>
      <c r="J142" s="35" t="s">
        <v>104</v>
      </c>
      <c r="K142" s="35" t="s">
        <v>1441</v>
      </c>
      <c r="M142" s="35" t="s">
        <v>67</v>
      </c>
      <c r="N142" s="35" t="s">
        <v>1443</v>
      </c>
      <c r="O142" s="35" t="s">
        <v>26</v>
      </c>
    </row>
    <row r="143" spans="1:15" ht="13">
      <c r="A143" s="33">
        <v>43924.152114745375</v>
      </c>
      <c r="B143" s="35" t="s">
        <v>1307</v>
      </c>
      <c r="C143" s="35" t="s">
        <v>1308</v>
      </c>
      <c r="D143" s="35" t="s">
        <v>1309</v>
      </c>
      <c r="E143" s="38" t="s">
        <v>1310</v>
      </c>
      <c r="F143" s="328" t="s">
        <v>1315</v>
      </c>
      <c r="G143" s="35" t="s">
        <v>1316</v>
      </c>
      <c r="H143" s="35" t="s">
        <v>33</v>
      </c>
      <c r="I143" s="35" t="s">
        <v>1318</v>
      </c>
      <c r="J143" s="35" t="s">
        <v>104</v>
      </c>
      <c r="K143" s="35" t="s">
        <v>1319</v>
      </c>
      <c r="L143" s="328" t="s">
        <v>1320</v>
      </c>
      <c r="M143" s="35" t="s">
        <v>83</v>
      </c>
      <c r="N143" s="327"/>
      <c r="O143" s="35" t="s">
        <v>26</v>
      </c>
    </row>
    <row r="144" spans="1:15" ht="13">
      <c r="A144" s="33">
        <v>43924.201240034723</v>
      </c>
      <c r="B144" s="35" t="s">
        <v>9595</v>
      </c>
      <c r="C144" s="324" t="s">
        <v>9596</v>
      </c>
      <c r="D144" s="324" t="s">
        <v>6286</v>
      </c>
      <c r="E144" s="323" t="s">
        <v>9597</v>
      </c>
      <c r="F144" s="327"/>
      <c r="G144" s="324" t="s">
        <v>32</v>
      </c>
      <c r="H144" s="324" t="s">
        <v>33</v>
      </c>
      <c r="I144" s="324" t="s">
        <v>9546</v>
      </c>
      <c r="J144" s="324" t="s">
        <v>48</v>
      </c>
      <c r="M144" s="324" t="s">
        <v>83</v>
      </c>
      <c r="N144" s="324" t="s">
        <v>9551</v>
      </c>
      <c r="O144" s="35" t="s">
        <v>26</v>
      </c>
    </row>
    <row r="145" spans="1:15" ht="13" hidden="1">
      <c r="A145" s="33">
        <v>43924.228160347222</v>
      </c>
      <c r="B145" s="35" t="s">
        <v>1461</v>
      </c>
      <c r="C145" s="35" t="s">
        <v>895</v>
      </c>
      <c r="D145" s="35" t="s">
        <v>1463</v>
      </c>
      <c r="E145" s="35" t="s">
        <v>1420</v>
      </c>
      <c r="F145" s="35" t="s">
        <v>1464</v>
      </c>
      <c r="G145" s="35" t="s">
        <v>296</v>
      </c>
      <c r="H145" s="35" t="s">
        <v>46</v>
      </c>
      <c r="I145" s="35" t="s">
        <v>1465</v>
      </c>
      <c r="J145" s="35" t="s">
        <v>48</v>
      </c>
      <c r="M145" s="35" t="s">
        <v>67</v>
      </c>
      <c r="N145" s="35" t="s">
        <v>1466</v>
      </c>
      <c r="O145" s="35" t="s">
        <v>26</v>
      </c>
    </row>
    <row r="146" spans="1:15" ht="13" hidden="1">
      <c r="A146" s="33">
        <v>43924.317321875002</v>
      </c>
      <c r="B146" s="35" t="s">
        <v>1467</v>
      </c>
      <c r="C146" s="35" t="s">
        <v>1468</v>
      </c>
      <c r="D146" s="35" t="s">
        <v>675</v>
      </c>
      <c r="E146" s="38" t="s">
        <v>1469</v>
      </c>
      <c r="F146" s="35" t="s">
        <v>1470</v>
      </c>
      <c r="G146" s="35" t="s">
        <v>1471</v>
      </c>
      <c r="H146" s="35" t="s">
        <v>46</v>
      </c>
      <c r="I146" s="35" t="s">
        <v>1472</v>
      </c>
      <c r="J146" s="35" t="s">
        <v>48</v>
      </c>
      <c r="M146" s="35" t="s">
        <v>83</v>
      </c>
      <c r="N146" s="35" t="s">
        <v>826</v>
      </c>
      <c r="O146" s="35" t="s">
        <v>26</v>
      </c>
    </row>
    <row r="147" spans="1:15" ht="13" hidden="1">
      <c r="A147" s="33">
        <v>43924.36558435185</v>
      </c>
      <c r="B147" s="35" t="s">
        <v>1474</v>
      </c>
      <c r="C147" s="35" t="s">
        <v>1475</v>
      </c>
      <c r="D147" s="35" t="s">
        <v>1477</v>
      </c>
      <c r="E147" s="38" t="s">
        <v>1478</v>
      </c>
      <c r="F147" s="35" t="s">
        <v>1481</v>
      </c>
      <c r="G147" s="35" t="s">
        <v>1482</v>
      </c>
      <c r="H147" s="35" t="s">
        <v>1483</v>
      </c>
      <c r="I147" s="35" t="s">
        <v>1484</v>
      </c>
      <c r="J147" s="35" t="s">
        <v>81</v>
      </c>
      <c r="K147" s="35" t="s">
        <v>1485</v>
      </c>
      <c r="L147" s="35" t="s">
        <v>1486</v>
      </c>
      <c r="M147" s="35" t="s">
        <v>83</v>
      </c>
      <c r="N147" s="35" t="s">
        <v>1487</v>
      </c>
      <c r="O147" s="35" t="s">
        <v>26</v>
      </c>
    </row>
    <row r="148" spans="1:15" ht="13" hidden="1">
      <c r="A148" s="33">
        <v>43924.778959108793</v>
      </c>
      <c r="B148" s="35" t="s">
        <v>1488</v>
      </c>
      <c r="C148" s="35" t="s">
        <v>1489</v>
      </c>
      <c r="D148" s="35" t="s">
        <v>1490</v>
      </c>
      <c r="E148" s="38" t="s">
        <v>1491</v>
      </c>
      <c r="F148" s="35" t="s">
        <v>1495</v>
      </c>
      <c r="G148" s="35" t="s">
        <v>220</v>
      </c>
      <c r="H148" s="35" t="s">
        <v>126</v>
      </c>
      <c r="I148" s="35" t="s">
        <v>1497</v>
      </c>
      <c r="J148" s="35" t="s">
        <v>81</v>
      </c>
      <c r="M148" s="35" t="s">
        <v>83</v>
      </c>
      <c r="O148" s="35" t="s">
        <v>26</v>
      </c>
    </row>
    <row r="149" spans="1:15" ht="13">
      <c r="A149" s="33">
        <v>43924.829501250002</v>
      </c>
      <c r="B149" s="35" t="s">
        <v>9598</v>
      </c>
      <c r="C149" s="324" t="s">
        <v>9596</v>
      </c>
      <c r="D149" s="324" t="s">
        <v>6286</v>
      </c>
      <c r="E149" s="323" t="s">
        <v>9599</v>
      </c>
      <c r="F149" s="327"/>
      <c r="G149" s="324" t="s">
        <v>32</v>
      </c>
      <c r="H149" s="324" t="s">
        <v>33</v>
      </c>
      <c r="I149" s="324" t="s">
        <v>9546</v>
      </c>
      <c r="J149" s="324" t="s">
        <v>48</v>
      </c>
      <c r="K149" s="327"/>
      <c r="M149" s="324" t="s">
        <v>83</v>
      </c>
      <c r="N149" s="324" t="s">
        <v>9551</v>
      </c>
      <c r="O149" s="35" t="s">
        <v>26</v>
      </c>
    </row>
    <row r="150" spans="1:15" ht="13">
      <c r="A150" s="33">
        <v>43924.860665682871</v>
      </c>
      <c r="B150" s="35" t="s">
        <v>9600</v>
      </c>
      <c r="C150" s="324" t="s">
        <v>9596</v>
      </c>
      <c r="D150" s="324" t="s">
        <v>6286</v>
      </c>
      <c r="E150" s="323" t="s">
        <v>9601</v>
      </c>
      <c r="F150" s="327"/>
      <c r="G150" s="324" t="s">
        <v>32</v>
      </c>
      <c r="H150" s="324" t="s">
        <v>33</v>
      </c>
      <c r="I150" s="324" t="s">
        <v>9546</v>
      </c>
      <c r="J150" s="324" t="s">
        <v>48</v>
      </c>
      <c r="K150" s="327"/>
      <c r="L150" s="327"/>
      <c r="M150" s="324" t="s">
        <v>83</v>
      </c>
      <c r="N150" s="324" t="s">
        <v>9551</v>
      </c>
      <c r="O150" s="35" t="s">
        <v>26</v>
      </c>
    </row>
    <row r="151" spans="1:15" ht="13" hidden="1">
      <c r="A151" s="33">
        <v>43924.873265949078</v>
      </c>
      <c r="B151" s="35" t="s">
        <v>1512</v>
      </c>
      <c r="C151" s="35" t="s">
        <v>1513</v>
      </c>
      <c r="D151" s="35" t="s">
        <v>1515</v>
      </c>
      <c r="E151" s="38" t="s">
        <v>1517</v>
      </c>
      <c r="F151" s="35" t="s">
        <v>1519</v>
      </c>
      <c r="G151" s="35" t="s">
        <v>322</v>
      </c>
      <c r="H151" s="35" t="s">
        <v>46</v>
      </c>
      <c r="I151" s="35" t="s">
        <v>1520</v>
      </c>
      <c r="J151" s="35" t="s">
        <v>746</v>
      </c>
      <c r="M151" s="35" t="s">
        <v>67</v>
      </c>
      <c r="N151" s="35" t="s">
        <v>1521</v>
      </c>
      <c r="O151" s="35" t="s">
        <v>26</v>
      </c>
    </row>
    <row r="152" spans="1:15" ht="13" hidden="1">
      <c r="A152" s="33">
        <v>43924.883524710647</v>
      </c>
      <c r="B152" s="35" t="s">
        <v>1523</v>
      </c>
      <c r="C152" s="35" t="s">
        <v>1524</v>
      </c>
      <c r="D152" s="35" t="s">
        <v>1525</v>
      </c>
      <c r="E152" s="38" t="s">
        <v>1526</v>
      </c>
      <c r="F152" s="35" t="s">
        <v>1530</v>
      </c>
      <c r="G152" s="35" t="s">
        <v>63</v>
      </c>
      <c r="H152" s="35" t="s">
        <v>46</v>
      </c>
      <c r="I152" s="35" t="s">
        <v>1532</v>
      </c>
      <c r="J152" s="35" t="s">
        <v>35</v>
      </c>
      <c r="K152" s="35" t="s">
        <v>1533</v>
      </c>
      <c r="L152" s="35" t="s">
        <v>1534</v>
      </c>
      <c r="M152" s="35" t="s">
        <v>83</v>
      </c>
      <c r="N152" s="35" t="s">
        <v>1535</v>
      </c>
      <c r="O152" s="35" t="s">
        <v>26</v>
      </c>
    </row>
    <row r="153" spans="1:15" ht="13">
      <c r="A153" s="33">
        <v>43924.985429004635</v>
      </c>
      <c r="B153" s="35" t="s">
        <v>7765</v>
      </c>
      <c r="C153" s="35" t="s">
        <v>7766</v>
      </c>
      <c r="D153" s="35" t="s">
        <v>5116</v>
      </c>
      <c r="E153" s="38" t="s">
        <v>7767</v>
      </c>
      <c r="F153" s="327"/>
      <c r="G153" s="35" t="s">
        <v>296</v>
      </c>
      <c r="H153" s="35" t="s">
        <v>33</v>
      </c>
      <c r="I153" s="35" t="s">
        <v>7772</v>
      </c>
      <c r="J153" s="35" t="s">
        <v>48</v>
      </c>
      <c r="K153" s="328" t="s">
        <v>7773</v>
      </c>
      <c r="L153" s="328" t="s">
        <v>7774</v>
      </c>
      <c r="M153" s="35" t="s">
        <v>83</v>
      </c>
      <c r="O153" s="35" t="s">
        <v>26</v>
      </c>
    </row>
    <row r="154" spans="1:15" ht="13" hidden="1">
      <c r="A154" s="33">
        <v>43925.023049745374</v>
      </c>
      <c r="B154" s="35" t="s">
        <v>1543</v>
      </c>
      <c r="C154" s="35" t="s">
        <v>1544</v>
      </c>
      <c r="D154" s="35" t="s">
        <v>1546</v>
      </c>
      <c r="E154" s="38" t="s">
        <v>1547</v>
      </c>
      <c r="F154" s="35" t="s">
        <v>1550</v>
      </c>
      <c r="G154" s="35" t="s">
        <v>709</v>
      </c>
      <c r="H154" s="35" t="s">
        <v>46</v>
      </c>
      <c r="I154" s="35" t="s">
        <v>1551</v>
      </c>
      <c r="J154" s="35" t="s">
        <v>48</v>
      </c>
      <c r="K154" s="35" t="s">
        <v>1552</v>
      </c>
      <c r="M154" s="35" t="s">
        <v>83</v>
      </c>
      <c r="N154" s="35" t="s">
        <v>92</v>
      </c>
      <c r="O154" s="35" t="s">
        <v>26</v>
      </c>
    </row>
    <row r="155" spans="1:15" ht="13">
      <c r="A155" s="33">
        <v>43925.047700810188</v>
      </c>
      <c r="B155" s="35" t="s">
        <v>3043</v>
      </c>
      <c r="C155" s="35" t="s">
        <v>3044</v>
      </c>
      <c r="D155" s="35" t="s">
        <v>3045</v>
      </c>
      <c r="E155" s="328" t="s">
        <v>3046</v>
      </c>
      <c r="F155" s="35" t="s">
        <v>3047</v>
      </c>
      <c r="G155" s="35" t="s">
        <v>63</v>
      </c>
      <c r="H155" s="35" t="s">
        <v>33</v>
      </c>
      <c r="I155" s="35" t="s">
        <v>3048</v>
      </c>
      <c r="J155" s="35" t="s">
        <v>48</v>
      </c>
      <c r="K155" s="327"/>
      <c r="L155" s="327"/>
      <c r="M155" s="35" t="s">
        <v>83</v>
      </c>
      <c r="O155" s="35" t="s">
        <v>26</v>
      </c>
    </row>
    <row r="156" spans="1:15" ht="13">
      <c r="A156" s="33">
        <v>43925.062092442131</v>
      </c>
      <c r="B156" s="35" t="s">
        <v>2631</v>
      </c>
      <c r="C156" s="35" t="s">
        <v>2632</v>
      </c>
      <c r="D156" s="35" t="s">
        <v>2633</v>
      </c>
      <c r="E156" s="38" t="s">
        <v>2634</v>
      </c>
      <c r="F156" s="35" t="s">
        <v>2639</v>
      </c>
      <c r="G156" s="35" t="s">
        <v>102</v>
      </c>
      <c r="H156" s="35" t="s">
        <v>33</v>
      </c>
      <c r="I156" s="35" t="s">
        <v>2640</v>
      </c>
      <c r="J156" s="35" t="s">
        <v>35</v>
      </c>
      <c r="K156" s="328" t="s">
        <v>2641</v>
      </c>
      <c r="M156" s="35" t="s">
        <v>83</v>
      </c>
      <c r="O156" s="35" t="s">
        <v>26</v>
      </c>
    </row>
    <row r="157" spans="1:15" ht="13" hidden="1">
      <c r="A157" s="33">
        <v>43925.064824398149</v>
      </c>
      <c r="B157" s="35" t="s">
        <v>1573</v>
      </c>
      <c r="C157" s="35" t="s">
        <v>1576</v>
      </c>
      <c r="D157" s="35" t="s">
        <v>1577</v>
      </c>
      <c r="E157" s="38" t="s">
        <v>1578</v>
      </c>
      <c r="F157" s="35" t="s">
        <v>1579</v>
      </c>
      <c r="G157" s="35" t="s">
        <v>505</v>
      </c>
      <c r="H157" s="35" t="s">
        <v>506</v>
      </c>
      <c r="I157" s="35" t="s">
        <v>1580</v>
      </c>
      <c r="J157" s="35" t="s">
        <v>35</v>
      </c>
      <c r="K157" s="35" t="s">
        <v>1580</v>
      </c>
      <c r="M157" s="35" t="s">
        <v>83</v>
      </c>
      <c r="N157" s="35" t="s">
        <v>1581</v>
      </c>
      <c r="O157" s="35" t="s">
        <v>26</v>
      </c>
    </row>
    <row r="158" spans="1:15" ht="13">
      <c r="A158" s="33">
        <v>43925.070520995374</v>
      </c>
      <c r="B158" s="35" t="s">
        <v>6469</v>
      </c>
      <c r="C158" s="35" t="s">
        <v>2632</v>
      </c>
      <c r="D158" s="35" t="s">
        <v>6470</v>
      </c>
      <c r="E158" s="38" t="s">
        <v>6471</v>
      </c>
      <c r="F158" s="328" t="s">
        <v>6473</v>
      </c>
      <c r="G158" s="35" t="s">
        <v>4929</v>
      </c>
      <c r="H158" s="35" t="s">
        <v>33</v>
      </c>
      <c r="I158" s="35" t="s">
        <v>6474</v>
      </c>
      <c r="J158" s="35" t="s">
        <v>104</v>
      </c>
      <c r="K158" s="328" t="s">
        <v>6475</v>
      </c>
      <c r="L158" s="328" t="s">
        <v>6476</v>
      </c>
      <c r="M158" s="35" t="s">
        <v>83</v>
      </c>
      <c r="O158" s="35" t="s">
        <v>26</v>
      </c>
    </row>
    <row r="159" spans="1:15" ht="13" hidden="1">
      <c r="A159" s="33">
        <v>43925.078778240742</v>
      </c>
      <c r="B159" s="35" t="s">
        <v>1588</v>
      </c>
      <c r="C159" s="35" t="s">
        <v>1589</v>
      </c>
      <c r="D159" s="35" t="s">
        <v>1590</v>
      </c>
      <c r="E159" s="38" t="s">
        <v>1592</v>
      </c>
      <c r="F159" s="35" t="s">
        <v>1594</v>
      </c>
      <c r="G159" s="35" t="s">
        <v>1595</v>
      </c>
      <c r="H159" s="35" t="s">
        <v>46</v>
      </c>
      <c r="I159" s="35" t="s">
        <v>1596</v>
      </c>
      <c r="J159" s="35" t="s">
        <v>35</v>
      </c>
      <c r="K159" s="35" t="s">
        <v>1598</v>
      </c>
      <c r="L159" s="35" t="s">
        <v>1599</v>
      </c>
      <c r="M159" s="35" t="s">
        <v>67</v>
      </c>
      <c r="N159" s="35" t="s">
        <v>1600</v>
      </c>
      <c r="O159" s="35" t="s">
        <v>26</v>
      </c>
    </row>
    <row r="160" spans="1:15" ht="13" hidden="1">
      <c r="A160" s="33">
        <v>43925.086490960646</v>
      </c>
      <c r="B160" s="35" t="s">
        <v>1601</v>
      </c>
      <c r="C160" s="35" t="s">
        <v>1602</v>
      </c>
      <c r="D160" s="35" t="s">
        <v>762</v>
      </c>
      <c r="E160" s="38" t="s">
        <v>1603</v>
      </c>
      <c r="F160" s="35" t="s">
        <v>1604</v>
      </c>
      <c r="G160" s="35" t="s">
        <v>363</v>
      </c>
      <c r="H160" s="35" t="s">
        <v>46</v>
      </c>
      <c r="I160" s="35" t="s">
        <v>1605</v>
      </c>
      <c r="J160" s="35" t="s">
        <v>48</v>
      </c>
      <c r="K160" s="35" t="s">
        <v>1607</v>
      </c>
      <c r="M160" s="35" t="s">
        <v>67</v>
      </c>
      <c r="N160" s="35" t="s">
        <v>1608</v>
      </c>
      <c r="O160" s="35" t="s">
        <v>26</v>
      </c>
    </row>
    <row r="161" spans="1:15" ht="13">
      <c r="A161" s="33">
        <v>43925.095588761571</v>
      </c>
      <c r="B161" s="35" t="s">
        <v>9589</v>
      </c>
      <c r="C161" s="324" t="s">
        <v>2632</v>
      </c>
      <c r="D161" s="324" t="s">
        <v>6286</v>
      </c>
      <c r="E161" s="342" t="s">
        <v>9590</v>
      </c>
      <c r="F161" s="327"/>
      <c r="G161" s="324" t="s">
        <v>32</v>
      </c>
      <c r="H161" s="324" t="s">
        <v>33</v>
      </c>
      <c r="I161" s="324" t="s">
        <v>9546</v>
      </c>
      <c r="J161" s="324" t="s">
        <v>48</v>
      </c>
      <c r="M161" s="324" t="s">
        <v>83</v>
      </c>
      <c r="N161" s="324" t="s">
        <v>9551</v>
      </c>
      <c r="O161" s="35" t="s">
        <v>26</v>
      </c>
    </row>
    <row r="162" spans="1:15" ht="13" hidden="1">
      <c r="A162" s="33">
        <v>43925.156455115735</v>
      </c>
      <c r="B162" s="35" t="s">
        <v>1617</v>
      </c>
      <c r="C162" s="35" t="s">
        <v>1619</v>
      </c>
      <c r="D162" s="35" t="s">
        <v>1620</v>
      </c>
      <c r="E162" s="35" t="s">
        <v>1621</v>
      </c>
      <c r="F162" s="35" t="s">
        <v>1622</v>
      </c>
      <c r="G162" s="35" t="s">
        <v>296</v>
      </c>
      <c r="H162" s="35" t="s">
        <v>46</v>
      </c>
      <c r="I162" s="35" t="s">
        <v>1623</v>
      </c>
      <c r="J162" s="35" t="s">
        <v>48</v>
      </c>
      <c r="K162" s="35" t="s">
        <v>1624</v>
      </c>
      <c r="L162" s="35" t="s">
        <v>1625</v>
      </c>
      <c r="M162" s="35" t="s">
        <v>83</v>
      </c>
      <c r="O162" s="35" t="s">
        <v>26</v>
      </c>
    </row>
    <row r="163" spans="1:15" ht="13" hidden="1">
      <c r="A163" s="33">
        <v>43925.166616168979</v>
      </c>
      <c r="B163" s="35" t="s">
        <v>1626</v>
      </c>
      <c r="C163" s="35" t="s">
        <v>1627</v>
      </c>
      <c r="D163" s="35" t="s">
        <v>1628</v>
      </c>
      <c r="E163" s="38" t="s">
        <v>1629</v>
      </c>
      <c r="F163" s="35" t="s">
        <v>1632</v>
      </c>
      <c r="G163" s="35" t="s">
        <v>1633</v>
      </c>
      <c r="H163" s="35" t="s">
        <v>46</v>
      </c>
      <c r="I163" s="35" t="s">
        <v>1634</v>
      </c>
      <c r="J163" s="35" t="s">
        <v>81</v>
      </c>
      <c r="K163" s="35" t="s">
        <v>1635</v>
      </c>
      <c r="L163" s="35" t="s">
        <v>1636</v>
      </c>
      <c r="M163" s="35" t="s">
        <v>67</v>
      </c>
      <c r="N163" s="35" t="s">
        <v>1637</v>
      </c>
      <c r="O163" s="35" t="s">
        <v>26</v>
      </c>
    </row>
    <row r="164" spans="1:15" ht="13" hidden="1">
      <c r="A164" s="33">
        <v>43925.18398199074</v>
      </c>
      <c r="B164" s="35" t="s">
        <v>1638</v>
      </c>
      <c r="C164" s="35" t="s">
        <v>1639</v>
      </c>
      <c r="D164" s="35" t="s">
        <v>1640</v>
      </c>
      <c r="E164" s="38" t="s">
        <v>1641</v>
      </c>
      <c r="F164" s="35" t="s">
        <v>1642</v>
      </c>
      <c r="G164" s="35" t="s">
        <v>161</v>
      </c>
      <c r="H164" s="35" t="s">
        <v>506</v>
      </c>
      <c r="I164" s="35" t="s">
        <v>1643</v>
      </c>
      <c r="J164" s="35" t="s">
        <v>35</v>
      </c>
      <c r="K164" s="35" t="s">
        <v>1644</v>
      </c>
      <c r="M164" s="35" t="s">
        <v>83</v>
      </c>
      <c r="O164" s="35" t="s">
        <v>26</v>
      </c>
    </row>
    <row r="165" spans="1:15" ht="13" hidden="1">
      <c r="A165" s="33">
        <v>43925.244244247689</v>
      </c>
      <c r="B165" s="35" t="s">
        <v>1645</v>
      </c>
      <c r="C165" s="35" t="s">
        <v>1646</v>
      </c>
      <c r="D165" s="35" t="s">
        <v>1647</v>
      </c>
      <c r="E165" s="38" t="s">
        <v>1648</v>
      </c>
      <c r="F165" s="35" t="s">
        <v>1651</v>
      </c>
      <c r="G165" s="35" t="s">
        <v>63</v>
      </c>
      <c r="H165" s="35" t="s">
        <v>46</v>
      </c>
      <c r="I165" s="35" t="s">
        <v>1652</v>
      </c>
      <c r="J165" s="35" t="s">
        <v>48</v>
      </c>
      <c r="K165" s="35" t="s">
        <v>1653</v>
      </c>
      <c r="M165" s="35" t="s">
        <v>83</v>
      </c>
      <c r="N165" s="35" t="s">
        <v>532</v>
      </c>
      <c r="O165" s="35" t="s">
        <v>26</v>
      </c>
    </row>
    <row r="166" spans="1:15" ht="13" hidden="1">
      <c r="A166" s="33">
        <v>43925.25668273148</v>
      </c>
      <c r="B166" s="35" t="s">
        <v>1654</v>
      </c>
      <c r="C166" s="35" t="s">
        <v>1655</v>
      </c>
      <c r="D166" s="35" t="s">
        <v>1656</v>
      </c>
      <c r="E166" s="38" t="s">
        <v>1657</v>
      </c>
      <c r="F166" s="35" t="s">
        <v>1661</v>
      </c>
      <c r="G166" s="35" t="s">
        <v>1662</v>
      </c>
      <c r="H166" s="35" t="s">
        <v>1663</v>
      </c>
      <c r="I166" s="35" t="s">
        <v>1664</v>
      </c>
      <c r="J166" s="35" t="s">
        <v>81</v>
      </c>
      <c r="K166" s="35" t="s">
        <v>1665</v>
      </c>
      <c r="M166" s="35" t="s">
        <v>83</v>
      </c>
      <c r="N166" s="35" t="s">
        <v>1666</v>
      </c>
      <c r="O166" s="35" t="s">
        <v>26</v>
      </c>
    </row>
    <row r="167" spans="1:15" ht="13">
      <c r="A167" s="33">
        <v>43925.25874075231</v>
      </c>
      <c r="B167" s="35" t="s">
        <v>8207</v>
      </c>
      <c r="C167" s="328" t="s">
        <v>1855</v>
      </c>
      <c r="D167" s="328" t="s">
        <v>8208</v>
      </c>
      <c r="E167" s="38" t="s">
        <v>8209</v>
      </c>
      <c r="F167" s="327"/>
      <c r="G167" s="328" t="s">
        <v>8210</v>
      </c>
      <c r="H167" s="328" t="s">
        <v>33</v>
      </c>
      <c r="I167" s="328" t="s">
        <v>8211</v>
      </c>
      <c r="J167" s="328" t="s">
        <v>81</v>
      </c>
      <c r="K167" s="327"/>
      <c r="L167" s="327"/>
      <c r="M167" s="328" t="s">
        <v>83</v>
      </c>
      <c r="N167" s="327"/>
      <c r="O167" s="35" t="s">
        <v>26</v>
      </c>
    </row>
    <row r="168" spans="1:15" ht="13" hidden="1">
      <c r="A168" s="33">
        <v>43925.272715057872</v>
      </c>
      <c r="B168" s="35" t="s">
        <v>1678</v>
      </c>
      <c r="C168" s="35" t="s">
        <v>1679</v>
      </c>
      <c r="D168" s="35" t="s">
        <v>1680</v>
      </c>
      <c r="E168" s="38" t="s">
        <v>1681</v>
      </c>
      <c r="F168" s="35" t="s">
        <v>1683</v>
      </c>
      <c r="G168" s="35" t="s">
        <v>1175</v>
      </c>
      <c r="H168" s="35" t="s">
        <v>46</v>
      </c>
      <c r="I168" s="35" t="s">
        <v>1684</v>
      </c>
      <c r="J168" s="35" t="s">
        <v>104</v>
      </c>
      <c r="K168" s="35" t="s">
        <v>1685</v>
      </c>
      <c r="L168" s="35" t="s">
        <v>1686</v>
      </c>
      <c r="M168" s="35" t="s">
        <v>83</v>
      </c>
      <c r="N168" s="35" t="s">
        <v>1687</v>
      </c>
      <c r="O168" s="35" t="s">
        <v>26</v>
      </c>
    </row>
    <row r="169" spans="1:15" ht="13" hidden="1">
      <c r="A169" s="33">
        <v>43925.277103530098</v>
      </c>
      <c r="B169" s="35" t="s">
        <v>1689</v>
      </c>
      <c r="C169" s="35" t="s">
        <v>1690</v>
      </c>
      <c r="D169" s="38" t="s">
        <v>1691</v>
      </c>
      <c r="E169" s="38" t="s">
        <v>1692</v>
      </c>
      <c r="F169" s="35" t="s">
        <v>1694</v>
      </c>
      <c r="G169" s="35" t="s">
        <v>363</v>
      </c>
      <c r="H169" s="35" t="s">
        <v>46</v>
      </c>
      <c r="I169" s="35" t="s">
        <v>521</v>
      </c>
      <c r="J169" s="35" t="s">
        <v>48</v>
      </c>
      <c r="K169" s="35" t="s">
        <v>1695</v>
      </c>
      <c r="M169" s="35" t="s">
        <v>67</v>
      </c>
      <c r="N169" s="35" t="s">
        <v>1696</v>
      </c>
      <c r="O169" s="35" t="s">
        <v>26</v>
      </c>
    </row>
    <row r="170" spans="1:15" ht="13">
      <c r="A170" s="33">
        <v>43925.301762800926</v>
      </c>
      <c r="B170" s="35" t="s">
        <v>8426</v>
      </c>
      <c r="C170" s="35" t="s">
        <v>8427</v>
      </c>
      <c r="D170" s="35" t="s">
        <v>7079</v>
      </c>
      <c r="E170" s="38" t="s">
        <v>8428</v>
      </c>
      <c r="F170" s="327"/>
      <c r="G170" s="35" t="s">
        <v>32</v>
      </c>
      <c r="H170" s="35" t="s">
        <v>33</v>
      </c>
      <c r="I170" s="35" t="s">
        <v>15</v>
      </c>
      <c r="J170" s="35" t="s">
        <v>81</v>
      </c>
      <c r="K170" s="327"/>
      <c r="L170" s="327"/>
      <c r="M170" s="35" t="s">
        <v>83</v>
      </c>
      <c r="N170" s="328" t="s">
        <v>68</v>
      </c>
      <c r="O170" s="35" t="s">
        <v>26</v>
      </c>
    </row>
    <row r="171" spans="1:15" ht="13" hidden="1">
      <c r="A171" s="33">
        <v>43925.303563113426</v>
      </c>
      <c r="B171" s="35" t="s">
        <v>1705</v>
      </c>
      <c r="C171" s="35" t="s">
        <v>1706</v>
      </c>
      <c r="D171" s="35" t="s">
        <v>1707</v>
      </c>
      <c r="E171" s="38" t="s">
        <v>1708</v>
      </c>
      <c r="F171" s="35" t="s">
        <v>1711</v>
      </c>
      <c r="G171" s="35" t="s">
        <v>452</v>
      </c>
      <c r="H171" s="35" t="s">
        <v>387</v>
      </c>
      <c r="I171" s="35" t="s">
        <v>1712</v>
      </c>
      <c r="J171" s="35" t="s">
        <v>104</v>
      </c>
      <c r="M171" s="35" t="s">
        <v>83</v>
      </c>
      <c r="O171" s="35" t="s">
        <v>26</v>
      </c>
    </row>
    <row r="172" spans="1:15" ht="13" hidden="1">
      <c r="A172" s="33">
        <v>43925.316108842591</v>
      </c>
      <c r="B172" s="35" t="s">
        <v>1713</v>
      </c>
      <c r="C172" s="35" t="s">
        <v>1714</v>
      </c>
      <c r="D172" s="35" t="s">
        <v>1715</v>
      </c>
      <c r="E172" s="38" t="s">
        <v>1716</v>
      </c>
      <c r="F172" s="35" t="s">
        <v>1721</v>
      </c>
      <c r="G172" s="35" t="s">
        <v>1722</v>
      </c>
      <c r="H172" s="35" t="s">
        <v>46</v>
      </c>
      <c r="I172" s="35" t="s">
        <v>1723</v>
      </c>
      <c r="J172" s="35" t="s">
        <v>104</v>
      </c>
      <c r="K172" s="35" t="s">
        <v>1724</v>
      </c>
      <c r="L172" s="35" t="s">
        <v>1725</v>
      </c>
      <c r="M172" s="35" t="s">
        <v>67</v>
      </c>
      <c r="O172" s="35" t="s">
        <v>26</v>
      </c>
    </row>
    <row r="173" spans="1:15" ht="13">
      <c r="A173" s="33">
        <v>43925.332839502313</v>
      </c>
      <c r="B173" s="35" t="s">
        <v>7219</v>
      </c>
      <c r="C173" s="328" t="s">
        <v>7220</v>
      </c>
      <c r="D173" s="328" t="s">
        <v>1566</v>
      </c>
      <c r="E173" s="38" t="s">
        <v>7221</v>
      </c>
      <c r="F173" s="327"/>
      <c r="G173" s="328" t="s">
        <v>4358</v>
      </c>
      <c r="H173" s="328" t="s">
        <v>33</v>
      </c>
      <c r="I173" s="328" t="s">
        <v>15</v>
      </c>
      <c r="J173" s="328" t="s">
        <v>35</v>
      </c>
      <c r="M173" s="328" t="s">
        <v>83</v>
      </c>
      <c r="N173" s="327"/>
      <c r="O173" s="35" t="s">
        <v>26</v>
      </c>
    </row>
    <row r="174" spans="1:15" ht="13" hidden="1">
      <c r="A174" s="33">
        <v>43925.356800810187</v>
      </c>
      <c r="B174" s="35" t="s">
        <v>1734</v>
      </c>
      <c r="C174" s="35" t="s">
        <v>1735</v>
      </c>
      <c r="D174" s="35" t="s">
        <v>1736</v>
      </c>
      <c r="E174" s="35" t="s">
        <v>1737</v>
      </c>
      <c r="F174" s="35" t="s">
        <v>1738</v>
      </c>
      <c r="G174" s="35" t="s">
        <v>1739</v>
      </c>
      <c r="H174" s="35" t="s">
        <v>46</v>
      </c>
      <c r="I174" s="35" t="s">
        <v>388</v>
      </c>
      <c r="J174" s="35" t="s">
        <v>48</v>
      </c>
      <c r="K174" s="35" t="s">
        <v>1740</v>
      </c>
      <c r="M174" s="35" t="s">
        <v>67</v>
      </c>
      <c r="O174" s="35" t="s">
        <v>26</v>
      </c>
    </row>
    <row r="175" spans="1:15" ht="13">
      <c r="A175" s="33">
        <v>43925.364262118055</v>
      </c>
      <c r="B175" s="35" t="s">
        <v>1445</v>
      </c>
      <c r="C175" s="328" t="s">
        <v>1446</v>
      </c>
      <c r="D175" s="328" t="s">
        <v>1447</v>
      </c>
      <c r="E175" s="38" t="s">
        <v>1448</v>
      </c>
      <c r="F175" s="328" t="s">
        <v>1450</v>
      </c>
      <c r="G175" s="328" t="s">
        <v>452</v>
      </c>
      <c r="H175" s="328" t="s">
        <v>33</v>
      </c>
      <c r="I175" s="328" t="s">
        <v>1451</v>
      </c>
      <c r="J175" s="328" t="s">
        <v>48</v>
      </c>
      <c r="K175" s="328" t="s">
        <v>1451</v>
      </c>
      <c r="L175" s="328" t="s">
        <v>1452</v>
      </c>
      <c r="M175" s="328" t="s">
        <v>83</v>
      </c>
      <c r="N175" s="327"/>
      <c r="O175" s="35" t="s">
        <v>26</v>
      </c>
    </row>
    <row r="176" spans="1:15" ht="13">
      <c r="A176" s="33">
        <v>43925.425551793982</v>
      </c>
      <c r="B176" s="35" t="s">
        <v>4498</v>
      </c>
      <c r="C176" s="328" t="s">
        <v>4499</v>
      </c>
      <c r="D176" s="38" t="s">
        <v>4500</v>
      </c>
      <c r="E176" s="328" t="s">
        <v>4498</v>
      </c>
      <c r="F176" s="328" t="s">
        <v>4504</v>
      </c>
      <c r="G176" s="328" t="s">
        <v>394</v>
      </c>
      <c r="H176" s="328" t="s">
        <v>33</v>
      </c>
      <c r="I176" s="328" t="s">
        <v>4505</v>
      </c>
      <c r="J176" s="328" t="s">
        <v>35</v>
      </c>
      <c r="K176" s="327"/>
      <c r="M176" s="328" t="s">
        <v>67</v>
      </c>
      <c r="N176" s="327"/>
      <c r="O176" s="35" t="s">
        <v>26</v>
      </c>
    </row>
    <row r="177" spans="1:15" ht="13">
      <c r="A177" s="33">
        <v>43925.704475231483</v>
      </c>
      <c r="B177" s="35" t="s">
        <v>6444</v>
      </c>
      <c r="C177" s="328" t="s">
        <v>6445</v>
      </c>
      <c r="D177" s="328" t="s">
        <v>6446</v>
      </c>
      <c r="E177" s="38" t="s">
        <v>6447</v>
      </c>
      <c r="F177" s="328" t="s">
        <v>6448</v>
      </c>
      <c r="G177" s="328" t="s">
        <v>394</v>
      </c>
      <c r="H177" s="328" t="s">
        <v>33</v>
      </c>
      <c r="I177" s="328" t="s">
        <v>6449</v>
      </c>
      <c r="J177" s="328" t="s">
        <v>81</v>
      </c>
      <c r="K177" s="328" t="s">
        <v>6450</v>
      </c>
      <c r="L177" s="327"/>
      <c r="M177" s="328" t="s">
        <v>67</v>
      </c>
      <c r="N177" s="328" t="s">
        <v>1420</v>
      </c>
      <c r="O177" s="35" t="s">
        <v>26</v>
      </c>
    </row>
    <row r="178" spans="1:15" ht="13" hidden="1">
      <c r="A178" s="33">
        <v>43925.775782187498</v>
      </c>
      <c r="B178" s="35" t="s">
        <v>1765</v>
      </c>
      <c r="C178" s="35" t="s">
        <v>1766</v>
      </c>
      <c r="D178" s="35" t="s">
        <v>1767</v>
      </c>
      <c r="E178" s="38" t="s">
        <v>1768</v>
      </c>
      <c r="F178" s="35" t="s">
        <v>1769</v>
      </c>
      <c r="G178" s="35" t="s">
        <v>102</v>
      </c>
      <c r="H178" s="35" t="s">
        <v>46</v>
      </c>
      <c r="I178" s="35" t="s">
        <v>1772</v>
      </c>
      <c r="J178" s="35" t="s">
        <v>48</v>
      </c>
      <c r="K178" s="35" t="s">
        <v>1773</v>
      </c>
      <c r="L178" s="35" t="s">
        <v>1774</v>
      </c>
      <c r="M178" s="35" t="s">
        <v>67</v>
      </c>
      <c r="N178" s="35" t="s">
        <v>1775</v>
      </c>
      <c r="O178" s="35" t="s">
        <v>26</v>
      </c>
    </row>
    <row r="179" spans="1:15" ht="13" hidden="1">
      <c r="A179" s="33">
        <v>43925.817913356484</v>
      </c>
      <c r="B179" s="35" t="s">
        <v>1777</v>
      </c>
      <c r="C179" s="35" t="s">
        <v>1778</v>
      </c>
      <c r="D179" s="35" t="s">
        <v>1779</v>
      </c>
      <c r="E179" s="38" t="s">
        <v>1780</v>
      </c>
      <c r="F179" s="35" t="s">
        <v>1781</v>
      </c>
      <c r="G179" s="35" t="s">
        <v>1325</v>
      </c>
      <c r="H179" s="35" t="s">
        <v>46</v>
      </c>
      <c r="I179" s="35" t="s">
        <v>1782</v>
      </c>
      <c r="J179" s="35" t="s">
        <v>104</v>
      </c>
      <c r="K179" s="35" t="s">
        <v>1783</v>
      </c>
      <c r="L179" s="35" t="s">
        <v>1784</v>
      </c>
      <c r="M179" s="35" t="s">
        <v>83</v>
      </c>
      <c r="N179" s="35" t="s">
        <v>1785</v>
      </c>
      <c r="O179" s="35" t="s">
        <v>26</v>
      </c>
    </row>
    <row r="180" spans="1:15" ht="13">
      <c r="A180" s="33">
        <v>43925.887350300924</v>
      </c>
      <c r="B180" s="35" t="s">
        <v>4687</v>
      </c>
      <c r="C180" s="35" t="s">
        <v>4688</v>
      </c>
      <c r="D180" s="35" t="s">
        <v>2141</v>
      </c>
      <c r="E180" s="38" t="s">
        <v>4689</v>
      </c>
      <c r="F180" s="328" t="s">
        <v>4691</v>
      </c>
      <c r="G180" s="35" t="s">
        <v>394</v>
      </c>
      <c r="H180" s="35" t="s">
        <v>33</v>
      </c>
      <c r="I180" s="35" t="s">
        <v>4692</v>
      </c>
      <c r="J180" s="35" t="s">
        <v>81</v>
      </c>
      <c r="K180" s="328" t="s">
        <v>4693</v>
      </c>
      <c r="L180" s="327"/>
      <c r="M180" s="35" t="s">
        <v>83</v>
      </c>
      <c r="N180" s="327"/>
      <c r="O180" s="35" t="s">
        <v>26</v>
      </c>
    </row>
    <row r="181" spans="1:15" ht="13" hidden="1">
      <c r="A181" s="33">
        <v>43925.899922939818</v>
      </c>
      <c r="B181" s="35" t="s">
        <v>1797</v>
      </c>
      <c r="C181" s="35" t="s">
        <v>1798</v>
      </c>
      <c r="D181" s="35" t="s">
        <v>1799</v>
      </c>
      <c r="E181" s="38" t="s">
        <v>1800</v>
      </c>
      <c r="F181" s="35" t="s">
        <v>1802</v>
      </c>
      <c r="G181" s="35" t="s">
        <v>1803</v>
      </c>
      <c r="H181" s="35" t="s">
        <v>46</v>
      </c>
      <c r="I181" s="35" t="s">
        <v>425</v>
      </c>
      <c r="J181" s="35" t="s">
        <v>81</v>
      </c>
      <c r="M181" s="35" t="s">
        <v>83</v>
      </c>
      <c r="N181" s="35" t="s">
        <v>1804</v>
      </c>
      <c r="O181" s="35" t="s">
        <v>26</v>
      </c>
    </row>
    <row r="182" spans="1:15" ht="13">
      <c r="A182" s="33">
        <v>43925.901476909727</v>
      </c>
      <c r="B182" s="35" t="s">
        <v>2723</v>
      </c>
      <c r="C182" s="35" t="s">
        <v>2725</v>
      </c>
      <c r="D182" s="35" t="s">
        <v>2726</v>
      </c>
      <c r="E182" s="38" t="s">
        <v>2727</v>
      </c>
      <c r="F182" s="328" t="s">
        <v>2732</v>
      </c>
      <c r="G182" s="35" t="s">
        <v>2733</v>
      </c>
      <c r="H182" s="35" t="s">
        <v>33</v>
      </c>
      <c r="I182" s="35" t="s">
        <v>2734</v>
      </c>
      <c r="J182" s="35" t="s">
        <v>48</v>
      </c>
      <c r="K182" s="327"/>
      <c r="L182" s="327"/>
      <c r="M182" s="35" t="s">
        <v>83</v>
      </c>
      <c r="N182" s="327"/>
      <c r="O182" s="35" t="s">
        <v>26</v>
      </c>
    </row>
    <row r="183" spans="1:15" ht="13">
      <c r="A183" s="33">
        <v>43925.904084502312</v>
      </c>
      <c r="B183" s="35" t="s">
        <v>1750</v>
      </c>
      <c r="C183" s="35" t="s">
        <v>1751</v>
      </c>
      <c r="D183" s="35" t="s">
        <v>1753</v>
      </c>
      <c r="E183" s="38" t="s">
        <v>1754</v>
      </c>
      <c r="F183" s="328" t="s">
        <v>1755</v>
      </c>
      <c r="G183" s="35" t="s">
        <v>63</v>
      </c>
      <c r="H183" s="35" t="s">
        <v>33</v>
      </c>
      <c r="I183" s="328" t="s">
        <v>1420</v>
      </c>
      <c r="J183" s="328" t="s">
        <v>48</v>
      </c>
      <c r="K183" s="328" t="s">
        <v>1756</v>
      </c>
      <c r="L183" s="327"/>
      <c r="M183" s="328" t="s">
        <v>67</v>
      </c>
      <c r="N183" s="327"/>
      <c r="O183" s="35" t="s">
        <v>26</v>
      </c>
    </row>
    <row r="184" spans="1:15" ht="13" hidden="1">
      <c r="A184" s="33">
        <v>43925.928911886571</v>
      </c>
      <c r="B184" s="35" t="s">
        <v>1828</v>
      </c>
      <c r="C184" s="35" t="s">
        <v>354</v>
      </c>
      <c r="D184" s="35" t="s">
        <v>1829</v>
      </c>
      <c r="E184" s="38" t="s">
        <v>1830</v>
      </c>
      <c r="F184" s="35" t="s">
        <v>1831</v>
      </c>
      <c r="G184" s="35" t="s">
        <v>519</v>
      </c>
      <c r="H184" s="35" t="s">
        <v>46</v>
      </c>
      <c r="I184" s="35" t="s">
        <v>425</v>
      </c>
      <c r="J184" s="35" t="s">
        <v>48</v>
      </c>
      <c r="K184" s="35" t="s">
        <v>1832</v>
      </c>
      <c r="L184" s="35" t="s">
        <v>1834</v>
      </c>
      <c r="M184" s="35" t="s">
        <v>83</v>
      </c>
      <c r="N184" s="35" t="s">
        <v>1835</v>
      </c>
      <c r="O184" s="35" t="s">
        <v>26</v>
      </c>
    </row>
    <row r="185" spans="1:15" ht="13" hidden="1">
      <c r="A185" s="33">
        <v>43925.981790706021</v>
      </c>
      <c r="B185" s="35" t="s">
        <v>1838</v>
      </c>
      <c r="C185" s="35" t="s">
        <v>1839</v>
      </c>
      <c r="D185" s="35" t="s">
        <v>1153</v>
      </c>
      <c r="E185" s="38" t="s">
        <v>1840</v>
      </c>
      <c r="F185" s="35" t="s">
        <v>1842</v>
      </c>
      <c r="G185" s="35" t="s">
        <v>802</v>
      </c>
      <c r="H185" s="35" t="s">
        <v>46</v>
      </c>
      <c r="I185" s="35" t="s">
        <v>1843</v>
      </c>
      <c r="J185" s="35" t="s">
        <v>81</v>
      </c>
      <c r="K185" s="35" t="s">
        <v>1844</v>
      </c>
      <c r="M185" s="35" t="s">
        <v>83</v>
      </c>
      <c r="N185" s="35" t="s">
        <v>92</v>
      </c>
      <c r="O185" s="35" t="s">
        <v>26</v>
      </c>
    </row>
    <row r="186" spans="1:15" ht="13">
      <c r="A186" s="33">
        <v>43926.020256597221</v>
      </c>
      <c r="B186" s="35" t="s">
        <v>2346</v>
      </c>
      <c r="C186" s="35" t="s">
        <v>2347</v>
      </c>
      <c r="D186" s="35" t="s">
        <v>1869</v>
      </c>
      <c r="E186" s="38" t="s">
        <v>2348</v>
      </c>
      <c r="F186" s="328" t="s">
        <v>2350</v>
      </c>
      <c r="G186" s="35" t="s">
        <v>2351</v>
      </c>
      <c r="H186" s="35" t="s">
        <v>33</v>
      </c>
      <c r="I186" s="35" t="s">
        <v>2353</v>
      </c>
      <c r="J186" s="35" t="s">
        <v>48</v>
      </c>
      <c r="K186" s="328" t="s">
        <v>2355</v>
      </c>
      <c r="M186" s="35" t="s">
        <v>83</v>
      </c>
      <c r="N186" s="35" t="s">
        <v>2356</v>
      </c>
      <c r="O186" s="35" t="s">
        <v>26</v>
      </c>
    </row>
    <row r="187" spans="1:15" ht="13" hidden="1">
      <c r="A187" s="33">
        <v>43926.028167974539</v>
      </c>
      <c r="B187" s="35" t="s">
        <v>1851</v>
      </c>
      <c r="C187" s="35" t="s">
        <v>1852</v>
      </c>
      <c r="D187" s="35" t="s">
        <v>1853</v>
      </c>
      <c r="E187" s="38" t="s">
        <v>1854</v>
      </c>
      <c r="F187" s="35" t="s">
        <v>1861</v>
      </c>
      <c r="G187" s="35" t="s">
        <v>1862</v>
      </c>
      <c r="H187" s="35" t="s">
        <v>46</v>
      </c>
      <c r="I187" s="35" t="s">
        <v>1863</v>
      </c>
      <c r="J187" s="35" t="s">
        <v>104</v>
      </c>
      <c r="K187" s="35" t="s">
        <v>1864</v>
      </c>
      <c r="L187" s="35" t="s">
        <v>1865</v>
      </c>
      <c r="M187" s="35" t="s">
        <v>83</v>
      </c>
      <c r="N187" s="35" t="s">
        <v>1866</v>
      </c>
      <c r="O187" s="35" t="s">
        <v>26</v>
      </c>
    </row>
    <row r="188" spans="1:15" ht="13" hidden="1">
      <c r="A188" s="33">
        <v>43926.063539560186</v>
      </c>
      <c r="B188" s="35" t="s">
        <v>1867</v>
      </c>
      <c r="C188" s="35" t="s">
        <v>1868</v>
      </c>
      <c r="D188" s="35" t="s">
        <v>1869</v>
      </c>
      <c r="E188" s="38" t="s">
        <v>1870</v>
      </c>
      <c r="F188" s="35" t="s">
        <v>1871</v>
      </c>
      <c r="G188" s="35" t="s">
        <v>1872</v>
      </c>
      <c r="H188" s="35" t="s">
        <v>46</v>
      </c>
      <c r="I188" s="35" t="s">
        <v>1873</v>
      </c>
      <c r="J188" s="35" t="s">
        <v>81</v>
      </c>
      <c r="K188" s="35" t="s">
        <v>1873</v>
      </c>
      <c r="L188" s="35" t="s">
        <v>1874</v>
      </c>
      <c r="M188" s="35" t="s">
        <v>67</v>
      </c>
      <c r="N188" s="35" t="s">
        <v>1875</v>
      </c>
      <c r="O188" s="35" t="s">
        <v>26</v>
      </c>
    </row>
    <row r="189" spans="1:15" ht="13" hidden="1">
      <c r="A189" s="33">
        <v>43926.170189201388</v>
      </c>
      <c r="B189" s="35" t="s">
        <v>1876</v>
      </c>
      <c r="C189" s="35" t="s">
        <v>1877</v>
      </c>
      <c r="D189" s="35" t="s">
        <v>1878</v>
      </c>
      <c r="E189" s="35" t="s">
        <v>1879</v>
      </c>
      <c r="F189" s="35" t="s">
        <v>1880</v>
      </c>
      <c r="G189" s="35" t="s">
        <v>1881</v>
      </c>
      <c r="H189" s="35" t="s">
        <v>1882</v>
      </c>
      <c r="I189" s="35" t="s">
        <v>1883</v>
      </c>
      <c r="J189" s="35" t="s">
        <v>81</v>
      </c>
      <c r="K189" s="35" t="s">
        <v>1884</v>
      </c>
      <c r="L189" s="35" t="s">
        <v>1885</v>
      </c>
      <c r="M189" s="35" t="s">
        <v>83</v>
      </c>
      <c r="N189" s="35" t="s">
        <v>1886</v>
      </c>
      <c r="O189" s="35" t="s">
        <v>26</v>
      </c>
    </row>
    <row r="190" spans="1:15" ht="13" hidden="1">
      <c r="A190" s="33">
        <v>43926.174434502318</v>
      </c>
      <c r="B190" s="35" t="s">
        <v>1887</v>
      </c>
      <c r="C190" s="35" t="s">
        <v>1889</v>
      </c>
      <c r="D190" s="35" t="s">
        <v>1890</v>
      </c>
      <c r="E190" s="38" t="s">
        <v>1891</v>
      </c>
      <c r="F190" s="35" t="s">
        <v>1896</v>
      </c>
      <c r="G190" s="35" t="s">
        <v>452</v>
      </c>
      <c r="H190" s="35" t="s">
        <v>46</v>
      </c>
      <c r="I190" s="35" t="s">
        <v>1897</v>
      </c>
      <c r="J190" s="35" t="s">
        <v>104</v>
      </c>
      <c r="K190" s="35" t="s">
        <v>1898</v>
      </c>
      <c r="M190" s="35" t="s">
        <v>83</v>
      </c>
      <c r="N190" s="35" t="s">
        <v>1899</v>
      </c>
      <c r="O190" s="35" t="s">
        <v>26</v>
      </c>
    </row>
    <row r="191" spans="1:15" ht="13">
      <c r="A191" s="33">
        <v>43926.228329432866</v>
      </c>
      <c r="B191" s="35" t="s">
        <v>1328</v>
      </c>
      <c r="C191" s="35" t="s">
        <v>1329</v>
      </c>
      <c r="D191" s="35" t="s">
        <v>1330</v>
      </c>
      <c r="E191" s="38" t="s">
        <v>1331</v>
      </c>
      <c r="F191" s="35" t="s">
        <v>1336</v>
      </c>
      <c r="G191" s="35" t="s">
        <v>1337</v>
      </c>
      <c r="H191" s="35" t="s">
        <v>33</v>
      </c>
      <c r="I191" s="35" t="s">
        <v>15</v>
      </c>
      <c r="J191" s="35" t="s">
        <v>48</v>
      </c>
      <c r="K191" s="35" t="s">
        <v>1338</v>
      </c>
      <c r="L191" s="327"/>
      <c r="M191" s="35" t="s">
        <v>83</v>
      </c>
      <c r="N191" s="328" t="s">
        <v>170</v>
      </c>
      <c r="O191" s="35" t="s">
        <v>26</v>
      </c>
    </row>
    <row r="192" spans="1:15" ht="13">
      <c r="A192" s="33">
        <v>43926.266432025463</v>
      </c>
      <c r="B192" s="35" t="s">
        <v>6994</v>
      </c>
      <c r="C192" s="35" t="s">
        <v>6996</v>
      </c>
      <c r="D192" s="35" t="s">
        <v>6997</v>
      </c>
      <c r="E192" s="38" t="s">
        <v>6998</v>
      </c>
      <c r="F192" s="327"/>
      <c r="G192" s="35" t="s">
        <v>7000</v>
      </c>
      <c r="H192" s="35" t="s">
        <v>33</v>
      </c>
      <c r="I192" s="35" t="s">
        <v>521</v>
      </c>
      <c r="J192" s="35" t="s">
        <v>35</v>
      </c>
      <c r="K192" s="327"/>
      <c r="M192" s="35" t="s">
        <v>83</v>
      </c>
      <c r="N192" s="328" t="s">
        <v>7001</v>
      </c>
      <c r="O192" s="35" t="s">
        <v>26</v>
      </c>
    </row>
    <row r="193" spans="1:15" ht="13">
      <c r="A193" s="33">
        <v>43926.29748606481</v>
      </c>
      <c r="B193" s="35" t="s">
        <v>2461</v>
      </c>
      <c r="C193" s="35" t="s">
        <v>2462</v>
      </c>
      <c r="D193" s="35" t="s">
        <v>2464</v>
      </c>
      <c r="E193" s="38" t="s">
        <v>2465</v>
      </c>
      <c r="F193" s="328" t="s">
        <v>2470</v>
      </c>
      <c r="G193" s="35" t="s">
        <v>1167</v>
      </c>
      <c r="H193" s="35" t="s">
        <v>33</v>
      </c>
      <c r="I193" s="35" t="s">
        <v>2471</v>
      </c>
      <c r="J193" s="35" t="s">
        <v>35</v>
      </c>
      <c r="K193" s="327"/>
      <c r="L193" s="328" t="s">
        <v>2472</v>
      </c>
      <c r="M193" s="35" t="s">
        <v>83</v>
      </c>
      <c r="O193" s="35" t="s">
        <v>26</v>
      </c>
    </row>
    <row r="194" spans="1:15" ht="13">
      <c r="A194" s="33">
        <v>43926.310577986107</v>
      </c>
      <c r="B194" s="35" t="s">
        <v>8814</v>
      </c>
      <c r="C194" s="328" t="s">
        <v>8815</v>
      </c>
      <c r="D194" s="328" t="s">
        <v>8816</v>
      </c>
      <c r="E194" s="38" t="s">
        <v>8817</v>
      </c>
      <c r="F194" s="327"/>
      <c r="G194" s="328" t="s">
        <v>322</v>
      </c>
      <c r="H194" s="328" t="s">
        <v>33</v>
      </c>
      <c r="I194" s="328" t="s">
        <v>8820</v>
      </c>
      <c r="J194" s="328" t="s">
        <v>81</v>
      </c>
      <c r="K194" s="328" t="s">
        <v>8821</v>
      </c>
      <c r="M194" s="328" t="s">
        <v>83</v>
      </c>
      <c r="N194" s="328" t="s">
        <v>8823</v>
      </c>
      <c r="O194" s="35" t="s">
        <v>26</v>
      </c>
    </row>
    <row r="195" spans="1:15" ht="13">
      <c r="A195" s="33">
        <v>43926.312350613429</v>
      </c>
      <c r="B195" s="35" t="s">
        <v>8510</v>
      </c>
      <c r="C195" s="328" t="s">
        <v>8511</v>
      </c>
      <c r="D195" s="328" t="s">
        <v>1153</v>
      </c>
      <c r="E195" s="38" t="s">
        <v>8512</v>
      </c>
      <c r="F195" s="327"/>
      <c r="G195" s="328" t="s">
        <v>505</v>
      </c>
      <c r="H195" s="328" t="s">
        <v>33</v>
      </c>
      <c r="I195" s="328" t="s">
        <v>8515</v>
      </c>
      <c r="J195" s="328" t="s">
        <v>35</v>
      </c>
      <c r="K195" s="327"/>
      <c r="L195" s="327"/>
      <c r="M195" s="328" t="s">
        <v>67</v>
      </c>
      <c r="N195" s="327"/>
      <c r="O195" s="35" t="s">
        <v>26</v>
      </c>
    </row>
    <row r="196" spans="1:15" ht="13" hidden="1">
      <c r="A196" s="33">
        <v>43926.33492119213</v>
      </c>
      <c r="B196" s="35" t="s">
        <v>1943</v>
      </c>
      <c r="C196" s="35" t="s">
        <v>390</v>
      </c>
      <c r="D196" s="35" t="s">
        <v>1944</v>
      </c>
      <c r="E196" s="38" t="s">
        <v>1945</v>
      </c>
      <c r="F196" s="35" t="s">
        <v>1947</v>
      </c>
      <c r="G196" s="35" t="s">
        <v>398</v>
      </c>
      <c r="H196" s="35" t="s">
        <v>46</v>
      </c>
      <c r="I196" s="35" t="s">
        <v>1948</v>
      </c>
      <c r="J196" s="35" t="s">
        <v>35</v>
      </c>
      <c r="K196" s="35" t="s">
        <v>1949</v>
      </c>
      <c r="L196" s="35" t="s">
        <v>1950</v>
      </c>
      <c r="M196" s="35" t="s">
        <v>67</v>
      </c>
      <c r="O196" s="35" t="s">
        <v>26</v>
      </c>
    </row>
    <row r="197" spans="1:15" ht="13">
      <c r="A197" s="33">
        <v>43926.353329085643</v>
      </c>
      <c r="B197" s="35" t="s">
        <v>3501</v>
      </c>
      <c r="C197" s="328" t="s">
        <v>3502</v>
      </c>
      <c r="D197" s="328" t="s">
        <v>3503</v>
      </c>
      <c r="E197" s="38" t="s">
        <v>3504</v>
      </c>
      <c r="F197" s="328" t="s">
        <v>3506</v>
      </c>
      <c r="G197" s="328" t="s">
        <v>3507</v>
      </c>
      <c r="H197" s="328" t="s">
        <v>33</v>
      </c>
      <c r="I197" s="328" t="s">
        <v>3508</v>
      </c>
      <c r="J197" s="328" t="s">
        <v>746</v>
      </c>
      <c r="K197" s="327"/>
      <c r="L197" s="327"/>
      <c r="M197" s="328" t="s">
        <v>83</v>
      </c>
      <c r="N197" s="328" t="s">
        <v>3509</v>
      </c>
      <c r="O197" s="35" t="s">
        <v>26</v>
      </c>
    </row>
    <row r="198" spans="1:15" ht="13">
      <c r="A198" s="33">
        <v>43926.417821111114</v>
      </c>
      <c r="B198" s="35" t="s">
        <v>2554</v>
      </c>
      <c r="C198" s="35" t="s">
        <v>2555</v>
      </c>
      <c r="D198" s="35" t="s">
        <v>2034</v>
      </c>
      <c r="E198" s="38" t="s">
        <v>2556</v>
      </c>
      <c r="F198" s="328" t="s">
        <v>2559</v>
      </c>
      <c r="G198" s="35" t="s">
        <v>214</v>
      </c>
      <c r="H198" s="35" t="s">
        <v>33</v>
      </c>
      <c r="I198" s="35" t="s">
        <v>2561</v>
      </c>
      <c r="J198" s="35" t="s">
        <v>104</v>
      </c>
      <c r="K198" s="328" t="s">
        <v>2562</v>
      </c>
      <c r="L198" s="328" t="s">
        <v>2563</v>
      </c>
      <c r="M198" s="35" t="s">
        <v>83</v>
      </c>
      <c r="O198" s="35" t="s">
        <v>26</v>
      </c>
    </row>
    <row r="199" spans="1:15" ht="13" hidden="1">
      <c r="A199" s="33">
        <v>43926.786978402779</v>
      </c>
      <c r="B199" s="35" t="s">
        <v>1971</v>
      </c>
      <c r="C199" s="35" t="s">
        <v>1972</v>
      </c>
      <c r="D199" s="35" t="s">
        <v>1973</v>
      </c>
      <c r="E199" s="38" t="s">
        <v>1974</v>
      </c>
      <c r="F199" s="35" t="s">
        <v>1975</v>
      </c>
      <c r="G199" s="35" t="s">
        <v>548</v>
      </c>
      <c r="H199" s="35" t="s">
        <v>46</v>
      </c>
      <c r="I199" s="35" t="s">
        <v>304</v>
      </c>
      <c r="J199" s="35" t="s">
        <v>81</v>
      </c>
      <c r="K199" s="35" t="s">
        <v>1977</v>
      </c>
      <c r="L199" s="35" t="s">
        <v>1979</v>
      </c>
      <c r="M199" s="35" t="s">
        <v>83</v>
      </c>
      <c r="N199" s="35" t="s">
        <v>581</v>
      </c>
      <c r="O199" s="35" t="s">
        <v>26</v>
      </c>
    </row>
    <row r="200" spans="1:15" ht="13">
      <c r="A200" s="33">
        <v>43926.811143935185</v>
      </c>
      <c r="B200" s="35" t="s">
        <v>6194</v>
      </c>
      <c r="C200" s="35" t="s">
        <v>6195</v>
      </c>
      <c r="D200" s="38" t="s">
        <v>2277</v>
      </c>
      <c r="E200" s="38" t="s">
        <v>6196</v>
      </c>
      <c r="F200" s="35" t="s">
        <v>6197</v>
      </c>
      <c r="G200" s="35" t="s">
        <v>63</v>
      </c>
      <c r="H200" s="35" t="s">
        <v>33</v>
      </c>
      <c r="I200" s="35" t="s">
        <v>6198</v>
      </c>
      <c r="J200" s="35" t="s">
        <v>48</v>
      </c>
      <c r="K200" s="35" t="s">
        <v>6199</v>
      </c>
      <c r="M200" s="35" t="s">
        <v>67</v>
      </c>
      <c r="N200" s="327"/>
      <c r="O200" s="35" t="s">
        <v>26</v>
      </c>
    </row>
    <row r="201" spans="1:15" ht="13">
      <c r="A201" s="33">
        <v>43926.821489340276</v>
      </c>
      <c r="B201" s="35" t="s">
        <v>4552</v>
      </c>
      <c r="C201" s="35" t="s">
        <v>4553</v>
      </c>
      <c r="D201" s="328" t="s">
        <v>4554</v>
      </c>
      <c r="E201" s="38" t="s">
        <v>4555</v>
      </c>
      <c r="F201" s="35" t="s">
        <v>4558</v>
      </c>
      <c r="G201" s="35" t="s">
        <v>63</v>
      </c>
      <c r="H201" s="35" t="s">
        <v>33</v>
      </c>
      <c r="I201" s="35" t="s">
        <v>4559</v>
      </c>
      <c r="J201" s="35" t="s">
        <v>35</v>
      </c>
      <c r="K201" s="328" t="s">
        <v>4559</v>
      </c>
      <c r="L201" s="328" t="s">
        <v>4560</v>
      </c>
      <c r="M201" s="35" t="s">
        <v>83</v>
      </c>
      <c r="N201" s="328" t="s">
        <v>4561</v>
      </c>
      <c r="O201" s="35" t="s">
        <v>26</v>
      </c>
    </row>
    <row r="202" spans="1:15" ht="13">
      <c r="A202" s="33">
        <v>43926.827270694441</v>
      </c>
      <c r="B202" s="35" t="s">
        <v>8793</v>
      </c>
      <c r="C202" s="35" t="s">
        <v>8794</v>
      </c>
      <c r="D202" s="35" t="s">
        <v>8795</v>
      </c>
      <c r="E202" s="328" t="s">
        <v>8793</v>
      </c>
      <c r="F202" s="327"/>
      <c r="G202" s="35" t="s">
        <v>702</v>
      </c>
      <c r="H202" s="35" t="s">
        <v>33</v>
      </c>
      <c r="I202" s="35" t="s">
        <v>8796</v>
      </c>
      <c r="J202" s="35" t="s">
        <v>104</v>
      </c>
      <c r="K202" s="35" t="s">
        <v>8797</v>
      </c>
      <c r="L202" s="328" t="s">
        <v>8798</v>
      </c>
      <c r="M202" s="35" t="s">
        <v>83</v>
      </c>
      <c r="N202" s="35" t="s">
        <v>8799</v>
      </c>
      <c r="O202" s="35" t="s">
        <v>26</v>
      </c>
    </row>
    <row r="203" spans="1:15" ht="13" hidden="1">
      <c r="A203" s="33">
        <v>43926.892461331023</v>
      </c>
      <c r="B203" s="35" t="s">
        <v>2006</v>
      </c>
      <c r="C203" s="35" t="s">
        <v>2007</v>
      </c>
      <c r="D203" s="35" t="s">
        <v>2008</v>
      </c>
      <c r="E203" s="38" t="s">
        <v>2009</v>
      </c>
      <c r="F203" s="35" t="s">
        <v>2010</v>
      </c>
      <c r="G203" s="35" t="s">
        <v>519</v>
      </c>
      <c r="H203" s="35" t="s">
        <v>46</v>
      </c>
      <c r="I203" s="35" t="s">
        <v>2011</v>
      </c>
      <c r="J203" s="35" t="s">
        <v>48</v>
      </c>
      <c r="K203" s="35" t="s">
        <v>2012</v>
      </c>
      <c r="L203" s="35" t="s">
        <v>2013</v>
      </c>
      <c r="M203" s="35" t="s">
        <v>83</v>
      </c>
      <c r="N203" s="35" t="s">
        <v>68</v>
      </c>
      <c r="O203" s="35" t="s">
        <v>26</v>
      </c>
    </row>
    <row r="204" spans="1:15" ht="13" hidden="1">
      <c r="A204" s="33">
        <v>43926.906008761573</v>
      </c>
      <c r="B204" s="35" t="s">
        <v>38</v>
      </c>
      <c r="C204" s="35" t="s">
        <v>40</v>
      </c>
      <c r="D204" s="35" t="s">
        <v>41</v>
      </c>
      <c r="E204" s="38" t="s">
        <v>42</v>
      </c>
      <c r="F204" s="35" t="s">
        <v>44</v>
      </c>
      <c r="G204" s="35" t="s">
        <v>2017</v>
      </c>
      <c r="H204" s="35" t="s">
        <v>46</v>
      </c>
      <c r="I204" s="35" t="s">
        <v>47</v>
      </c>
      <c r="J204" s="35" t="s">
        <v>48</v>
      </c>
      <c r="M204" s="35" t="s">
        <v>67</v>
      </c>
      <c r="N204" s="35" t="s">
        <v>2019</v>
      </c>
      <c r="O204" s="35" t="s">
        <v>26</v>
      </c>
    </row>
    <row r="205" spans="1:15" ht="13" hidden="1">
      <c r="A205" s="33">
        <v>43926.938843240743</v>
      </c>
      <c r="B205" s="35" t="s">
        <v>2020</v>
      </c>
      <c r="C205" s="35" t="s">
        <v>2021</v>
      </c>
      <c r="D205" s="35" t="s">
        <v>2022</v>
      </c>
      <c r="E205" s="38" t="s">
        <v>2023</v>
      </c>
      <c r="F205" s="35" t="s">
        <v>2024</v>
      </c>
      <c r="G205" s="35" t="s">
        <v>336</v>
      </c>
      <c r="H205" s="35" t="s">
        <v>46</v>
      </c>
      <c r="I205" s="35" t="s">
        <v>2025</v>
      </c>
      <c r="J205" s="35" t="s">
        <v>104</v>
      </c>
      <c r="M205" s="35" t="s">
        <v>67</v>
      </c>
      <c r="N205" s="35" t="s">
        <v>532</v>
      </c>
      <c r="O205" s="35" t="s">
        <v>26</v>
      </c>
    </row>
    <row r="206" spans="1:15" ht="13" hidden="1">
      <c r="A206" s="33">
        <v>43926.953935844911</v>
      </c>
      <c r="B206" s="35" t="s">
        <v>2026</v>
      </c>
      <c r="C206" s="35" t="s">
        <v>2027</v>
      </c>
      <c r="D206" s="35" t="s">
        <v>1423</v>
      </c>
      <c r="E206" s="38" t="s">
        <v>2028</v>
      </c>
      <c r="F206" s="35" t="s">
        <v>2029</v>
      </c>
      <c r="G206" s="35" t="s">
        <v>519</v>
      </c>
      <c r="H206" s="35" t="s">
        <v>506</v>
      </c>
      <c r="I206" s="35" t="s">
        <v>425</v>
      </c>
      <c r="J206" s="35" t="s">
        <v>104</v>
      </c>
      <c r="M206" s="35" t="s">
        <v>83</v>
      </c>
      <c r="N206" s="35" t="s">
        <v>2030</v>
      </c>
      <c r="O206" s="35" t="s">
        <v>26</v>
      </c>
    </row>
    <row r="207" spans="1:15" ht="13">
      <c r="A207" s="33">
        <v>43926.955847187499</v>
      </c>
      <c r="B207" s="35" t="s">
        <v>1582</v>
      </c>
      <c r="C207" s="35" t="s">
        <v>1583</v>
      </c>
      <c r="D207" s="35" t="s">
        <v>1584</v>
      </c>
      <c r="E207" s="328" t="s">
        <v>1585</v>
      </c>
      <c r="F207" s="35" t="s">
        <v>1586</v>
      </c>
      <c r="G207" s="35" t="s">
        <v>996</v>
      </c>
      <c r="H207" s="35" t="s">
        <v>33</v>
      </c>
      <c r="I207" s="35" t="s">
        <v>1587</v>
      </c>
      <c r="J207" s="35" t="s">
        <v>104</v>
      </c>
      <c r="K207" s="327"/>
      <c r="L207" s="327"/>
      <c r="M207" s="35" t="s">
        <v>83</v>
      </c>
      <c r="N207" s="327"/>
      <c r="O207" s="35" t="s">
        <v>26</v>
      </c>
    </row>
    <row r="208" spans="1:15" ht="13" hidden="1">
      <c r="A208" s="33">
        <v>43926.969851655092</v>
      </c>
      <c r="B208" s="35" t="s">
        <v>2042</v>
      </c>
      <c r="C208" s="35" t="s">
        <v>1267</v>
      </c>
      <c r="D208" s="35" t="s">
        <v>2043</v>
      </c>
      <c r="E208" s="38" t="s">
        <v>2044</v>
      </c>
      <c r="F208" s="35" t="s">
        <v>2045</v>
      </c>
      <c r="G208" s="35" t="s">
        <v>220</v>
      </c>
      <c r="H208" s="35" t="s">
        <v>46</v>
      </c>
      <c r="I208" s="35" t="s">
        <v>2046</v>
      </c>
      <c r="J208" s="35" t="s">
        <v>35</v>
      </c>
      <c r="K208" s="35" t="s">
        <v>2047</v>
      </c>
      <c r="L208" s="35" t="s">
        <v>2048</v>
      </c>
      <c r="M208" s="35" t="s">
        <v>83</v>
      </c>
      <c r="N208" s="35" t="s">
        <v>2049</v>
      </c>
      <c r="O208" s="35" t="s">
        <v>26</v>
      </c>
    </row>
    <row r="209" spans="1:15" ht="13" hidden="1">
      <c r="A209" s="33">
        <v>43926.972930925927</v>
      </c>
      <c r="B209" s="35" t="s">
        <v>769</v>
      </c>
      <c r="C209" s="35" t="s">
        <v>2050</v>
      </c>
      <c r="D209" s="35" t="s">
        <v>2051</v>
      </c>
      <c r="E209" s="38" t="s">
        <v>2052</v>
      </c>
      <c r="F209" s="35" t="s">
        <v>2056</v>
      </c>
      <c r="G209" s="35" t="s">
        <v>2057</v>
      </c>
      <c r="H209" s="35" t="s">
        <v>46</v>
      </c>
      <c r="I209" s="35" t="s">
        <v>2058</v>
      </c>
      <c r="J209" s="35" t="s">
        <v>104</v>
      </c>
      <c r="K209" s="35" t="s">
        <v>2059</v>
      </c>
      <c r="M209" s="35" t="s">
        <v>67</v>
      </c>
      <c r="N209" s="35" t="s">
        <v>92</v>
      </c>
      <c r="O209" s="35" t="s">
        <v>26</v>
      </c>
    </row>
    <row r="210" spans="1:15" ht="13">
      <c r="A210" s="33">
        <v>43927.002546840275</v>
      </c>
      <c r="B210" s="35" t="s">
        <v>6775</v>
      </c>
      <c r="C210" s="35" t="s">
        <v>6776</v>
      </c>
      <c r="D210" s="328" t="s">
        <v>6777</v>
      </c>
      <c r="E210" s="38" t="s">
        <v>6778</v>
      </c>
      <c r="F210" s="327"/>
      <c r="G210" s="35" t="s">
        <v>519</v>
      </c>
      <c r="H210" s="35" t="s">
        <v>33</v>
      </c>
      <c r="I210" s="35" t="s">
        <v>6783</v>
      </c>
      <c r="J210" s="35" t="s">
        <v>35</v>
      </c>
      <c r="K210" s="35" t="s">
        <v>6783</v>
      </c>
      <c r="L210" s="328" t="s">
        <v>6784</v>
      </c>
      <c r="M210" s="35" t="s">
        <v>83</v>
      </c>
      <c r="N210" s="328" t="s">
        <v>6785</v>
      </c>
      <c r="O210" s="35" t="s">
        <v>26</v>
      </c>
    </row>
    <row r="211" spans="1:15" ht="13" hidden="1">
      <c r="A211" s="33">
        <v>43927.020777905098</v>
      </c>
      <c r="B211" s="35" t="s">
        <v>2068</v>
      </c>
      <c r="C211" s="35" t="s">
        <v>631</v>
      </c>
      <c r="D211" s="35" t="s">
        <v>2069</v>
      </c>
      <c r="E211" s="38" t="s">
        <v>2070</v>
      </c>
      <c r="F211" s="35" t="s">
        <v>2074</v>
      </c>
      <c r="G211" s="35" t="s">
        <v>2075</v>
      </c>
      <c r="H211" s="35" t="s">
        <v>46</v>
      </c>
      <c r="I211" s="35" t="s">
        <v>2076</v>
      </c>
      <c r="J211" s="35" t="s">
        <v>35</v>
      </c>
      <c r="M211" s="35" t="s">
        <v>67</v>
      </c>
      <c r="N211" s="35" t="s">
        <v>2077</v>
      </c>
      <c r="O211" s="35" t="s">
        <v>26</v>
      </c>
    </row>
    <row r="212" spans="1:15" ht="14">
      <c r="A212" s="33">
        <v>43927.028048831024</v>
      </c>
      <c r="B212" s="313" t="s">
        <v>9257</v>
      </c>
      <c r="C212" s="308" t="s">
        <v>9258</v>
      </c>
      <c r="D212" s="313" t="s">
        <v>87</v>
      </c>
      <c r="E212" s="312" t="s">
        <v>9259</v>
      </c>
      <c r="F212" s="313"/>
      <c r="G212" s="313" t="s">
        <v>32</v>
      </c>
      <c r="H212" s="313" t="s">
        <v>33</v>
      </c>
      <c r="I212" s="313" t="s">
        <v>2959</v>
      </c>
      <c r="J212" s="313"/>
      <c r="K212" s="313"/>
      <c r="L212" s="313"/>
      <c r="M212" s="313"/>
      <c r="N212" s="313"/>
      <c r="O212" s="35" t="s">
        <v>26</v>
      </c>
    </row>
    <row r="213" spans="1:15" ht="13" hidden="1">
      <c r="A213" s="33">
        <v>43927.030783333335</v>
      </c>
      <c r="B213" s="35" t="s">
        <v>2084</v>
      </c>
      <c r="C213" s="35" t="s">
        <v>2085</v>
      </c>
      <c r="D213" s="35" t="s">
        <v>2086</v>
      </c>
      <c r="E213" s="38" t="s">
        <v>2087</v>
      </c>
      <c r="F213" s="35" t="s">
        <v>2090</v>
      </c>
      <c r="G213" s="35" t="s">
        <v>1030</v>
      </c>
      <c r="H213" s="35" t="s">
        <v>46</v>
      </c>
      <c r="I213" s="35" t="s">
        <v>2092</v>
      </c>
      <c r="J213" s="35" t="s">
        <v>35</v>
      </c>
      <c r="M213" s="35" t="s">
        <v>67</v>
      </c>
      <c r="N213" s="35" t="s">
        <v>2093</v>
      </c>
      <c r="O213" s="35" t="s">
        <v>26</v>
      </c>
    </row>
    <row r="214" spans="1:15" ht="13">
      <c r="A214" s="33">
        <v>43927.032357881944</v>
      </c>
      <c r="B214" s="35" t="s">
        <v>5881</v>
      </c>
      <c r="C214" s="35" t="s">
        <v>5883</v>
      </c>
      <c r="D214" s="35" t="s">
        <v>5677</v>
      </c>
      <c r="E214" s="38" t="s">
        <v>5884</v>
      </c>
      <c r="F214" s="328" t="s">
        <v>5885</v>
      </c>
      <c r="G214" s="35" t="s">
        <v>32</v>
      </c>
      <c r="H214" s="35" t="s">
        <v>33</v>
      </c>
      <c r="I214" s="35" t="s">
        <v>425</v>
      </c>
      <c r="J214" s="35" t="s">
        <v>35</v>
      </c>
      <c r="K214" s="328" t="s">
        <v>5886</v>
      </c>
      <c r="L214" s="327"/>
      <c r="M214" s="35" t="s">
        <v>67</v>
      </c>
      <c r="O214" s="35" t="s">
        <v>26</v>
      </c>
    </row>
    <row r="215" spans="1:15" ht="13">
      <c r="A215" s="33">
        <v>43927.033215023148</v>
      </c>
      <c r="B215" s="35" t="s">
        <v>780</v>
      </c>
      <c r="C215" s="35" t="s">
        <v>781</v>
      </c>
      <c r="D215" s="35" t="s">
        <v>782</v>
      </c>
      <c r="E215" s="38" t="s">
        <v>783</v>
      </c>
      <c r="F215" s="35" t="s">
        <v>786</v>
      </c>
      <c r="G215" s="35" t="s">
        <v>564</v>
      </c>
      <c r="H215" s="35" t="s">
        <v>33</v>
      </c>
      <c r="I215" s="35" t="s">
        <v>787</v>
      </c>
      <c r="J215" s="35" t="s">
        <v>104</v>
      </c>
      <c r="K215" s="328" t="s">
        <v>788</v>
      </c>
      <c r="M215" s="35" t="s">
        <v>67</v>
      </c>
      <c r="N215" s="327"/>
      <c r="O215" s="35" t="s">
        <v>26</v>
      </c>
    </row>
    <row r="216" spans="1:15" ht="13" hidden="1">
      <c r="A216" s="33">
        <v>43927.06187513889</v>
      </c>
      <c r="B216" s="35" t="s">
        <v>2107</v>
      </c>
      <c r="C216" s="35" t="s">
        <v>1671</v>
      </c>
      <c r="D216" s="35" t="s">
        <v>2108</v>
      </c>
      <c r="E216" s="38" t="s">
        <v>2109</v>
      </c>
      <c r="F216" s="35" t="s">
        <v>2115</v>
      </c>
      <c r="G216" s="35" t="s">
        <v>1739</v>
      </c>
      <c r="H216" s="35" t="s">
        <v>46</v>
      </c>
      <c r="I216" s="35" t="s">
        <v>2116</v>
      </c>
      <c r="J216" s="35" t="s">
        <v>48</v>
      </c>
      <c r="K216" s="35" t="s">
        <v>2117</v>
      </c>
      <c r="M216" s="35" t="s">
        <v>67</v>
      </c>
      <c r="N216" s="35" t="s">
        <v>2118</v>
      </c>
      <c r="O216" s="35" t="s">
        <v>26</v>
      </c>
    </row>
    <row r="217" spans="1:15" ht="13" hidden="1">
      <c r="A217" s="33">
        <v>43927.066900370366</v>
      </c>
      <c r="B217" s="35" t="s">
        <v>2119</v>
      </c>
      <c r="C217" s="35" t="s">
        <v>2120</v>
      </c>
      <c r="D217" s="35" t="s">
        <v>2121</v>
      </c>
      <c r="E217" s="38" t="s">
        <v>2122</v>
      </c>
      <c r="F217" s="35" t="s">
        <v>2124</v>
      </c>
      <c r="G217" s="35" t="s">
        <v>394</v>
      </c>
      <c r="H217" s="35" t="s">
        <v>46</v>
      </c>
      <c r="I217" s="35" t="s">
        <v>2125</v>
      </c>
      <c r="J217" s="35" t="s">
        <v>35</v>
      </c>
      <c r="M217" s="35" t="s">
        <v>83</v>
      </c>
      <c r="N217" s="35" t="s">
        <v>2126</v>
      </c>
      <c r="O217" s="35" t="s">
        <v>26</v>
      </c>
    </row>
    <row r="218" spans="1:15" ht="13" hidden="1">
      <c r="A218" s="33">
        <v>43927.073067719903</v>
      </c>
      <c r="B218" s="35" t="s">
        <v>2127</v>
      </c>
      <c r="C218" s="35" t="s">
        <v>2128</v>
      </c>
      <c r="D218" s="35" t="s">
        <v>2129</v>
      </c>
      <c r="E218" s="38" t="s">
        <v>2130</v>
      </c>
      <c r="F218" s="35" t="s">
        <v>2134</v>
      </c>
      <c r="G218" s="35" t="s">
        <v>2135</v>
      </c>
      <c r="H218" s="35" t="s">
        <v>46</v>
      </c>
      <c r="I218" s="35" t="s">
        <v>2136</v>
      </c>
      <c r="J218" s="35" t="s">
        <v>48</v>
      </c>
      <c r="K218" s="35" t="s">
        <v>2137</v>
      </c>
      <c r="M218" s="35" t="s">
        <v>83</v>
      </c>
      <c r="O218" s="35" t="s">
        <v>26</v>
      </c>
    </row>
    <row r="219" spans="1:15" ht="13">
      <c r="A219" s="33">
        <v>43927.075346053243</v>
      </c>
      <c r="B219" s="35" t="s">
        <v>4702</v>
      </c>
      <c r="C219" s="35" t="s">
        <v>4703</v>
      </c>
      <c r="D219" s="35" t="s">
        <v>4704</v>
      </c>
      <c r="E219" s="38" t="s">
        <v>4705</v>
      </c>
      <c r="F219" s="35" t="s">
        <v>4706</v>
      </c>
      <c r="G219" s="35" t="s">
        <v>32</v>
      </c>
      <c r="H219" s="35" t="s">
        <v>33</v>
      </c>
      <c r="I219" s="35" t="s">
        <v>4707</v>
      </c>
      <c r="J219" s="35" t="s">
        <v>35</v>
      </c>
      <c r="K219" s="327"/>
      <c r="M219" s="35" t="s">
        <v>67</v>
      </c>
      <c r="O219" s="35" t="s">
        <v>26</v>
      </c>
    </row>
    <row r="220" spans="1:15" ht="13" hidden="1">
      <c r="A220" s="33">
        <v>43927.080612511578</v>
      </c>
      <c r="B220" s="35" t="s">
        <v>2145</v>
      </c>
      <c r="C220" s="35" t="s">
        <v>2146</v>
      </c>
      <c r="D220" s="35" t="s">
        <v>87</v>
      </c>
      <c r="E220" s="38" t="s">
        <v>2147</v>
      </c>
      <c r="F220" s="35" t="s">
        <v>2148</v>
      </c>
      <c r="G220" s="35" t="s">
        <v>322</v>
      </c>
      <c r="H220" s="35" t="s">
        <v>46</v>
      </c>
      <c r="I220" s="35" t="s">
        <v>2149</v>
      </c>
      <c r="J220" s="35" t="s">
        <v>104</v>
      </c>
      <c r="M220" s="35" t="s">
        <v>83</v>
      </c>
      <c r="N220" s="35" t="s">
        <v>68</v>
      </c>
      <c r="O220" s="35" t="s">
        <v>26</v>
      </c>
    </row>
    <row r="221" spans="1:15" ht="13" hidden="1">
      <c r="A221" s="33">
        <v>43927.08742246528</v>
      </c>
      <c r="B221" s="35" t="s">
        <v>2152</v>
      </c>
      <c r="C221" s="35" t="s">
        <v>2153</v>
      </c>
      <c r="D221" s="35" t="s">
        <v>762</v>
      </c>
      <c r="E221" s="38" t="s">
        <v>2154</v>
      </c>
      <c r="F221" s="35" t="s">
        <v>2156</v>
      </c>
      <c r="G221" s="35" t="s">
        <v>363</v>
      </c>
      <c r="H221" s="35" t="s">
        <v>46</v>
      </c>
      <c r="I221" s="35" t="s">
        <v>2158</v>
      </c>
      <c r="J221" s="35" t="s">
        <v>48</v>
      </c>
      <c r="K221" s="35" t="s">
        <v>2160</v>
      </c>
      <c r="L221" s="35" t="s">
        <v>2161</v>
      </c>
      <c r="M221" s="35" t="s">
        <v>67</v>
      </c>
      <c r="N221" s="35" t="s">
        <v>2162</v>
      </c>
      <c r="O221" s="35" t="s">
        <v>26</v>
      </c>
    </row>
    <row r="222" spans="1:15" ht="13" hidden="1">
      <c r="A222" s="33">
        <v>43927.09109681713</v>
      </c>
      <c r="B222" s="35" t="s">
        <v>2164</v>
      </c>
      <c r="C222" s="35" t="s">
        <v>2095</v>
      </c>
      <c r="D222" s="35" t="s">
        <v>2165</v>
      </c>
      <c r="E222" s="38" t="s">
        <v>2166</v>
      </c>
      <c r="F222" s="35" t="s">
        <v>2167</v>
      </c>
      <c r="G222" s="35" t="s">
        <v>2168</v>
      </c>
      <c r="H222" s="35" t="s">
        <v>46</v>
      </c>
      <c r="I222" s="35" t="s">
        <v>2169</v>
      </c>
      <c r="J222" s="35" t="s">
        <v>48</v>
      </c>
      <c r="M222" s="35" t="s">
        <v>67</v>
      </c>
      <c r="N222" s="35" t="s">
        <v>2170</v>
      </c>
      <c r="O222" s="35" t="s">
        <v>26</v>
      </c>
    </row>
    <row r="223" spans="1:15" ht="13">
      <c r="A223" s="33">
        <v>43927.092825648149</v>
      </c>
      <c r="B223" s="35" t="s">
        <v>6084</v>
      </c>
      <c r="C223" s="35" t="s">
        <v>4703</v>
      </c>
      <c r="D223" s="328" t="s">
        <v>6085</v>
      </c>
      <c r="E223" s="38" t="s">
        <v>6086</v>
      </c>
      <c r="F223" s="328" t="s">
        <v>6087</v>
      </c>
      <c r="G223" s="35" t="s">
        <v>32</v>
      </c>
      <c r="H223" s="35" t="s">
        <v>33</v>
      </c>
      <c r="I223" s="35" t="s">
        <v>6088</v>
      </c>
      <c r="J223" s="35" t="s">
        <v>48</v>
      </c>
      <c r="K223" s="327"/>
      <c r="L223" s="327"/>
      <c r="M223" s="35" t="s">
        <v>83</v>
      </c>
      <c r="N223" s="327"/>
      <c r="O223" s="35" t="s">
        <v>26</v>
      </c>
    </row>
    <row r="224" spans="1:15" ht="13" hidden="1">
      <c r="A224" s="33">
        <v>43927.097925023147</v>
      </c>
      <c r="B224" s="35" t="s">
        <v>2181</v>
      </c>
      <c r="C224" s="35" t="s">
        <v>2182</v>
      </c>
      <c r="D224" s="35" t="s">
        <v>2183</v>
      </c>
      <c r="E224" s="38" t="s">
        <v>2185</v>
      </c>
      <c r="F224" s="35" t="s">
        <v>2187</v>
      </c>
      <c r="G224" s="35" t="s">
        <v>2188</v>
      </c>
      <c r="H224" s="35" t="s">
        <v>262</v>
      </c>
      <c r="I224" s="35" t="s">
        <v>2189</v>
      </c>
      <c r="J224" s="35" t="s">
        <v>48</v>
      </c>
      <c r="M224" s="35" t="s">
        <v>83</v>
      </c>
      <c r="N224" s="35" t="s">
        <v>2190</v>
      </c>
      <c r="O224" s="35" t="s">
        <v>26</v>
      </c>
    </row>
    <row r="225" spans="1:15" ht="13" hidden="1">
      <c r="A225" s="33">
        <v>43927.110471678243</v>
      </c>
      <c r="B225" s="35" t="s">
        <v>2191</v>
      </c>
      <c r="C225" s="35" t="s">
        <v>1758</v>
      </c>
      <c r="D225" s="35" t="s">
        <v>2192</v>
      </c>
      <c r="E225" s="38" t="s">
        <v>2193</v>
      </c>
      <c r="F225" s="35" t="s">
        <v>2194</v>
      </c>
      <c r="G225" s="35" t="s">
        <v>1994</v>
      </c>
      <c r="H225" s="35" t="s">
        <v>46</v>
      </c>
      <c r="I225" s="35" t="s">
        <v>2195</v>
      </c>
      <c r="J225" s="35" t="s">
        <v>48</v>
      </c>
      <c r="M225" s="35" t="s">
        <v>67</v>
      </c>
      <c r="O225" s="35" t="s">
        <v>26</v>
      </c>
    </row>
    <row r="226" spans="1:15" ht="13">
      <c r="A226" s="33">
        <v>43927.120940671295</v>
      </c>
      <c r="B226" s="35" t="s">
        <v>4439</v>
      </c>
      <c r="C226" s="35" t="s">
        <v>798</v>
      </c>
      <c r="D226" s="35" t="s">
        <v>3382</v>
      </c>
      <c r="E226" s="38" t="s">
        <v>4440</v>
      </c>
      <c r="F226" s="35" t="s">
        <v>4447</v>
      </c>
      <c r="G226" s="35" t="s">
        <v>473</v>
      </c>
      <c r="H226" s="35" t="s">
        <v>33</v>
      </c>
      <c r="I226" s="35" t="s">
        <v>4448</v>
      </c>
      <c r="J226" s="35" t="s">
        <v>104</v>
      </c>
      <c r="K226" s="327"/>
      <c r="L226" s="327"/>
      <c r="M226" s="35" t="s">
        <v>67</v>
      </c>
      <c r="N226" s="327"/>
      <c r="O226" s="35" t="s">
        <v>26</v>
      </c>
    </row>
    <row r="227" spans="1:15" ht="13" hidden="1">
      <c r="A227" s="33">
        <v>43927.147726840281</v>
      </c>
      <c r="B227" s="35" t="s">
        <v>2202</v>
      </c>
      <c r="C227" s="35" t="s">
        <v>2203</v>
      </c>
      <c r="D227" s="35" t="s">
        <v>1153</v>
      </c>
      <c r="E227" s="38" t="s">
        <v>2204</v>
      </c>
      <c r="F227" s="35" t="s">
        <v>2205</v>
      </c>
      <c r="G227" s="35" t="s">
        <v>996</v>
      </c>
      <c r="H227" s="35" t="s">
        <v>46</v>
      </c>
      <c r="I227" s="35" t="s">
        <v>2206</v>
      </c>
      <c r="J227" s="35" t="s">
        <v>48</v>
      </c>
      <c r="K227" s="35" t="s">
        <v>2207</v>
      </c>
      <c r="M227" s="35" t="s">
        <v>83</v>
      </c>
      <c r="O227" s="35" t="s">
        <v>26</v>
      </c>
    </row>
    <row r="228" spans="1:15" ht="13">
      <c r="A228" s="33">
        <v>43927.149331689812</v>
      </c>
      <c r="B228" s="35" t="s">
        <v>4396</v>
      </c>
      <c r="C228" s="35" t="s">
        <v>4397</v>
      </c>
      <c r="D228" s="35" t="s">
        <v>4398</v>
      </c>
      <c r="E228" s="38" t="s">
        <v>4399</v>
      </c>
      <c r="F228" s="35" t="s">
        <v>4400</v>
      </c>
      <c r="G228" s="35" t="s">
        <v>32</v>
      </c>
      <c r="H228" s="35" t="s">
        <v>33</v>
      </c>
      <c r="I228" s="35" t="s">
        <v>4401</v>
      </c>
      <c r="J228" s="35" t="s">
        <v>48</v>
      </c>
      <c r="K228" s="327"/>
      <c r="L228" s="327"/>
      <c r="M228" s="35" t="s">
        <v>83</v>
      </c>
      <c r="N228" s="35" t="s">
        <v>4403</v>
      </c>
      <c r="O228" s="35" t="s">
        <v>26</v>
      </c>
    </row>
    <row r="229" spans="1:15" ht="13" hidden="1">
      <c r="A229" s="33">
        <v>43927.150338888889</v>
      </c>
      <c r="B229" s="35" t="s">
        <v>2216</v>
      </c>
      <c r="C229" s="35" t="s">
        <v>2218</v>
      </c>
      <c r="D229" s="35" t="s">
        <v>2220</v>
      </c>
      <c r="E229" s="38" t="s">
        <v>2221</v>
      </c>
      <c r="F229" s="35" t="s">
        <v>2224</v>
      </c>
      <c r="G229" s="35" t="s">
        <v>363</v>
      </c>
      <c r="H229" s="35" t="s">
        <v>46</v>
      </c>
      <c r="I229" s="35" t="s">
        <v>1897</v>
      </c>
      <c r="J229" s="35" t="s">
        <v>48</v>
      </c>
      <c r="K229" s="35" t="s">
        <v>2225</v>
      </c>
      <c r="L229" s="35" t="s">
        <v>2226</v>
      </c>
      <c r="M229" s="35" t="s">
        <v>83</v>
      </c>
      <c r="N229" s="35" t="s">
        <v>304</v>
      </c>
      <c r="O229" s="35" t="s">
        <v>26</v>
      </c>
    </row>
    <row r="230" spans="1:15" ht="13" hidden="1">
      <c r="A230" s="33">
        <v>43927.168633043984</v>
      </c>
      <c r="B230" s="35" t="s">
        <v>2227</v>
      </c>
      <c r="C230" s="35" t="s">
        <v>2228</v>
      </c>
      <c r="D230" s="35" t="s">
        <v>1153</v>
      </c>
      <c r="E230" s="38" t="s">
        <v>2229</v>
      </c>
      <c r="F230" s="35" t="s">
        <v>2230</v>
      </c>
      <c r="G230" s="35" t="s">
        <v>32</v>
      </c>
      <c r="H230" s="35" t="s">
        <v>46</v>
      </c>
      <c r="I230" s="35" t="s">
        <v>2231</v>
      </c>
      <c r="J230" s="35" t="s">
        <v>48</v>
      </c>
      <c r="K230" s="35" t="s">
        <v>2232</v>
      </c>
      <c r="L230" s="35" t="s">
        <v>2233</v>
      </c>
      <c r="M230" s="35" t="s">
        <v>83</v>
      </c>
      <c r="N230" s="35" t="s">
        <v>2234</v>
      </c>
      <c r="O230" s="35" t="s">
        <v>26</v>
      </c>
    </row>
    <row r="231" spans="1:15" ht="13">
      <c r="A231" s="33">
        <v>43927.172745810181</v>
      </c>
      <c r="B231" s="35" t="s">
        <v>2245</v>
      </c>
      <c r="C231" s="35" t="s">
        <v>2246</v>
      </c>
      <c r="D231" s="38" t="s">
        <v>1231</v>
      </c>
      <c r="E231" s="328" t="s">
        <v>2245</v>
      </c>
      <c r="F231" s="35" t="s">
        <v>2247</v>
      </c>
      <c r="G231" s="35" t="s">
        <v>505</v>
      </c>
      <c r="H231" s="35" t="s">
        <v>33</v>
      </c>
      <c r="I231" s="35" t="s">
        <v>2248</v>
      </c>
      <c r="J231" s="35" t="s">
        <v>48</v>
      </c>
      <c r="K231" s="327"/>
      <c r="L231" s="327"/>
      <c r="M231" s="35" t="s">
        <v>67</v>
      </c>
      <c r="O231" s="35" t="s">
        <v>26</v>
      </c>
    </row>
    <row r="232" spans="1:15" ht="13">
      <c r="A232" s="33">
        <v>43927.175412060184</v>
      </c>
      <c r="B232" s="35" t="s">
        <v>2709</v>
      </c>
      <c r="C232" s="35" t="s">
        <v>2246</v>
      </c>
      <c r="D232" s="328" t="s">
        <v>2710</v>
      </c>
      <c r="E232" s="35" t="s">
        <v>2709</v>
      </c>
      <c r="F232" s="328" t="s">
        <v>2711</v>
      </c>
      <c r="G232" s="35" t="s">
        <v>63</v>
      </c>
      <c r="H232" s="35" t="s">
        <v>33</v>
      </c>
      <c r="I232" s="35" t="s">
        <v>2712</v>
      </c>
      <c r="J232" s="35" t="s">
        <v>48</v>
      </c>
      <c r="M232" s="35" t="s">
        <v>83</v>
      </c>
      <c r="O232" s="35" t="s">
        <v>26</v>
      </c>
    </row>
    <row r="233" spans="1:15" ht="13">
      <c r="A233" s="33">
        <v>43927.20184011574</v>
      </c>
      <c r="B233" s="328" t="s">
        <v>4680</v>
      </c>
      <c r="C233" s="328" t="s">
        <v>2246</v>
      </c>
      <c r="D233" s="328" t="s">
        <v>4681</v>
      </c>
      <c r="E233" s="38" t="s">
        <v>4682</v>
      </c>
      <c r="F233" s="328" t="s">
        <v>4684</v>
      </c>
      <c r="G233" s="328" t="s">
        <v>3526</v>
      </c>
      <c r="H233" s="328" t="s">
        <v>33</v>
      </c>
      <c r="I233" s="328" t="s">
        <v>4686</v>
      </c>
      <c r="J233" s="328" t="s">
        <v>104</v>
      </c>
      <c r="K233" s="327"/>
      <c r="L233" s="327"/>
      <c r="M233" s="328" t="s">
        <v>83</v>
      </c>
      <c r="N233" s="327"/>
      <c r="O233" s="35" t="s">
        <v>26</v>
      </c>
    </row>
    <row r="234" spans="1:15" ht="13" hidden="1">
      <c r="A234" s="33">
        <v>43927.294555706016</v>
      </c>
      <c r="B234" s="35" t="s">
        <v>2258</v>
      </c>
      <c r="C234" s="35" t="s">
        <v>2259</v>
      </c>
      <c r="D234" s="35" t="s">
        <v>2260</v>
      </c>
      <c r="E234" s="38" t="s">
        <v>2261</v>
      </c>
      <c r="F234" s="35" t="s">
        <v>2266</v>
      </c>
      <c r="G234" s="35" t="s">
        <v>2267</v>
      </c>
      <c r="H234" s="35" t="s">
        <v>126</v>
      </c>
      <c r="I234" s="35" t="s">
        <v>2268</v>
      </c>
      <c r="J234" s="35" t="s">
        <v>81</v>
      </c>
      <c r="M234" s="35" t="s">
        <v>83</v>
      </c>
      <c r="N234" s="35" t="s">
        <v>2269</v>
      </c>
      <c r="O234" s="35" t="s">
        <v>26</v>
      </c>
    </row>
    <row r="235" spans="1:15" ht="13" hidden="1">
      <c r="A235" s="33">
        <v>43927.305677372686</v>
      </c>
      <c r="B235" s="35" t="s">
        <v>2270</v>
      </c>
      <c r="C235" s="35" t="s">
        <v>162</v>
      </c>
      <c r="D235" s="35" t="s">
        <v>2271</v>
      </c>
      <c r="E235" s="38" t="s">
        <v>2272</v>
      </c>
      <c r="F235" s="35" t="s">
        <v>2273</v>
      </c>
      <c r="G235" s="35" t="s">
        <v>1471</v>
      </c>
      <c r="H235" s="35" t="s">
        <v>46</v>
      </c>
      <c r="I235" s="35" t="s">
        <v>662</v>
      </c>
      <c r="J235" s="35" t="s">
        <v>48</v>
      </c>
      <c r="M235" s="35" t="s">
        <v>83</v>
      </c>
      <c r="N235" s="35" t="s">
        <v>2274</v>
      </c>
      <c r="O235" s="35" t="s">
        <v>26</v>
      </c>
    </row>
    <row r="236" spans="1:15" ht="13">
      <c r="A236" s="33">
        <v>43927.312742071765</v>
      </c>
      <c r="B236" s="328" t="s">
        <v>8642</v>
      </c>
      <c r="C236" s="328" t="s">
        <v>8643</v>
      </c>
      <c r="D236" s="328" t="s">
        <v>8145</v>
      </c>
      <c r="E236" s="38" t="s">
        <v>8644</v>
      </c>
      <c r="F236" s="327"/>
      <c r="G236" s="328" t="s">
        <v>1017</v>
      </c>
      <c r="H236" s="328" t="s">
        <v>33</v>
      </c>
      <c r="I236" s="328" t="s">
        <v>8646</v>
      </c>
      <c r="J236" s="328" t="s">
        <v>48</v>
      </c>
      <c r="K236" s="327"/>
      <c r="L236" s="327"/>
      <c r="M236" s="328" t="s">
        <v>83</v>
      </c>
      <c r="N236" s="327"/>
      <c r="O236" s="35" t="s">
        <v>26</v>
      </c>
    </row>
    <row r="237" spans="1:15" ht="13" hidden="1">
      <c r="A237" s="33">
        <v>43927.313455717594</v>
      </c>
      <c r="B237" s="35" t="s">
        <v>2281</v>
      </c>
      <c r="C237" s="35" t="s">
        <v>2282</v>
      </c>
      <c r="D237" s="35" t="s">
        <v>2283</v>
      </c>
      <c r="E237" s="38" t="s">
        <v>2284</v>
      </c>
      <c r="F237" s="35" t="s">
        <v>2290</v>
      </c>
      <c r="G237" s="35" t="s">
        <v>1017</v>
      </c>
      <c r="H237" s="35" t="s">
        <v>46</v>
      </c>
      <c r="I237" s="35" t="s">
        <v>2291</v>
      </c>
      <c r="J237" s="35" t="s">
        <v>48</v>
      </c>
      <c r="K237" s="35" t="s">
        <v>2292</v>
      </c>
      <c r="L237" s="35" t="s">
        <v>2293</v>
      </c>
      <c r="M237" s="35" t="s">
        <v>83</v>
      </c>
      <c r="O237" s="35" t="s">
        <v>26</v>
      </c>
    </row>
    <row r="238" spans="1:15" ht="13" hidden="1">
      <c r="A238" s="33">
        <v>43927.313665069443</v>
      </c>
      <c r="B238" s="35" t="s">
        <v>2294</v>
      </c>
      <c r="C238" s="35" t="s">
        <v>2295</v>
      </c>
      <c r="D238" s="35" t="s">
        <v>2296</v>
      </c>
      <c r="E238" s="38" t="s">
        <v>2297</v>
      </c>
      <c r="F238" s="35" t="s">
        <v>2298</v>
      </c>
      <c r="G238" s="35" t="s">
        <v>2299</v>
      </c>
      <c r="H238" s="35" t="s">
        <v>46</v>
      </c>
      <c r="I238" s="35" t="s">
        <v>304</v>
      </c>
      <c r="J238" s="35" t="s">
        <v>48</v>
      </c>
      <c r="K238" s="35" t="s">
        <v>2300</v>
      </c>
      <c r="L238" s="35" t="s">
        <v>2301</v>
      </c>
      <c r="M238" s="35" t="s">
        <v>83</v>
      </c>
      <c r="N238" s="35" t="s">
        <v>2302</v>
      </c>
      <c r="O238" s="35" t="s">
        <v>26</v>
      </c>
    </row>
    <row r="239" spans="1:15" ht="13">
      <c r="A239" s="33">
        <v>43927.320778240741</v>
      </c>
      <c r="B239" s="35" t="s">
        <v>1009</v>
      </c>
      <c r="C239" s="35" t="s">
        <v>1010</v>
      </c>
      <c r="D239" s="35" t="s">
        <v>876</v>
      </c>
      <c r="E239" s="38" t="s">
        <v>1011</v>
      </c>
      <c r="F239" s="328" t="s">
        <v>1015</v>
      </c>
      <c r="G239" s="35" t="s">
        <v>1017</v>
      </c>
      <c r="H239" s="35" t="s">
        <v>33</v>
      </c>
      <c r="I239" s="35" t="s">
        <v>1019</v>
      </c>
      <c r="J239" s="35" t="s">
        <v>104</v>
      </c>
      <c r="K239" s="328" t="s">
        <v>1021</v>
      </c>
      <c r="L239" s="328" t="s">
        <v>1022</v>
      </c>
      <c r="M239" s="35" t="s">
        <v>83</v>
      </c>
      <c r="N239" s="328" t="s">
        <v>1024</v>
      </c>
      <c r="O239" s="35" t="s">
        <v>26</v>
      </c>
    </row>
    <row r="240" spans="1:15" ht="13" hidden="1">
      <c r="A240" s="33">
        <v>43927.327975775464</v>
      </c>
      <c r="B240" s="35" t="s">
        <v>2309</v>
      </c>
      <c r="C240" s="35" t="s">
        <v>2310</v>
      </c>
      <c r="D240" s="35" t="s">
        <v>2311</v>
      </c>
      <c r="E240" s="38" t="s">
        <v>2313</v>
      </c>
      <c r="F240" s="35" t="s">
        <v>2317</v>
      </c>
      <c r="G240" s="35" t="s">
        <v>363</v>
      </c>
      <c r="H240" s="35" t="s">
        <v>46</v>
      </c>
      <c r="I240" s="35" t="s">
        <v>2318</v>
      </c>
      <c r="J240" s="35" t="s">
        <v>48</v>
      </c>
      <c r="K240" s="35" t="s">
        <v>2319</v>
      </c>
      <c r="M240" s="35" t="s">
        <v>67</v>
      </c>
      <c r="N240" s="35" t="s">
        <v>68</v>
      </c>
      <c r="O240" s="35" t="s">
        <v>26</v>
      </c>
    </row>
    <row r="241" spans="1:15" ht="13">
      <c r="A241" s="33">
        <v>43927.33368408565</v>
      </c>
      <c r="B241" s="35" t="s">
        <v>4750</v>
      </c>
      <c r="C241" s="35" t="s">
        <v>2312</v>
      </c>
      <c r="D241" s="35" t="s">
        <v>4398</v>
      </c>
      <c r="E241" s="38" t="s">
        <v>4751</v>
      </c>
      <c r="F241" s="328" t="s">
        <v>4755</v>
      </c>
      <c r="G241" s="35" t="s">
        <v>1994</v>
      </c>
      <c r="H241" s="35" t="s">
        <v>33</v>
      </c>
      <c r="I241" s="35" t="s">
        <v>4756</v>
      </c>
      <c r="J241" s="35" t="s">
        <v>48</v>
      </c>
      <c r="K241" s="327"/>
      <c r="L241" s="327"/>
      <c r="M241" s="35" t="s">
        <v>83</v>
      </c>
      <c r="N241" s="327"/>
      <c r="O241" s="35" t="s">
        <v>26</v>
      </c>
    </row>
    <row r="242" spans="1:15" ht="13">
      <c r="A242" s="33">
        <v>43927.348557465273</v>
      </c>
      <c r="B242" s="35" t="s">
        <v>6847</v>
      </c>
      <c r="C242" s="35" t="s">
        <v>2312</v>
      </c>
      <c r="D242" s="35" t="s">
        <v>6848</v>
      </c>
      <c r="E242" s="38" t="s">
        <v>6849</v>
      </c>
      <c r="F242" s="327"/>
      <c r="G242" s="35" t="s">
        <v>63</v>
      </c>
      <c r="H242" s="35" t="s">
        <v>33</v>
      </c>
      <c r="I242" s="35" t="s">
        <v>6853</v>
      </c>
      <c r="J242" s="35" t="s">
        <v>35</v>
      </c>
      <c r="K242" s="327"/>
      <c r="L242" s="327"/>
      <c r="M242" s="35" t="s">
        <v>83</v>
      </c>
      <c r="O242" s="35" t="s">
        <v>26</v>
      </c>
    </row>
    <row r="243" spans="1:15" ht="13">
      <c r="A243" s="33">
        <v>43927.352563900466</v>
      </c>
      <c r="B243" s="35" t="s">
        <v>5139</v>
      </c>
      <c r="C243" s="35" t="s">
        <v>5140</v>
      </c>
      <c r="D243" s="35" t="s">
        <v>5063</v>
      </c>
      <c r="E243" s="328" t="s">
        <v>5141</v>
      </c>
      <c r="F243" s="35" t="s">
        <v>5142</v>
      </c>
      <c r="G243" s="35" t="s">
        <v>505</v>
      </c>
      <c r="H243" s="35" t="s">
        <v>33</v>
      </c>
      <c r="I243" s="35" t="s">
        <v>5143</v>
      </c>
      <c r="J243" s="35" t="s">
        <v>48</v>
      </c>
      <c r="K243" s="328" t="s">
        <v>5144</v>
      </c>
      <c r="L243" s="328" t="s">
        <v>5145</v>
      </c>
      <c r="M243" s="35" t="s">
        <v>83</v>
      </c>
      <c r="N243" s="327"/>
      <c r="O243" s="35" t="s">
        <v>26</v>
      </c>
    </row>
    <row r="244" spans="1:15" ht="13" hidden="1">
      <c r="A244" s="33">
        <v>43927.354588530092</v>
      </c>
      <c r="B244" s="35" t="s">
        <v>2342</v>
      </c>
      <c r="C244" s="35" t="s">
        <v>748</v>
      </c>
      <c r="D244" s="35" t="s">
        <v>2343</v>
      </c>
      <c r="E244" s="38" t="s">
        <v>2344</v>
      </c>
      <c r="F244" s="35" t="s">
        <v>2345</v>
      </c>
      <c r="G244" s="35" t="s">
        <v>363</v>
      </c>
      <c r="H244" s="35" t="s">
        <v>126</v>
      </c>
      <c r="I244" s="35" t="s">
        <v>425</v>
      </c>
      <c r="J244" s="35" t="s">
        <v>104</v>
      </c>
      <c r="M244" s="35" t="s">
        <v>83</v>
      </c>
      <c r="O244" s="35" t="s">
        <v>26</v>
      </c>
    </row>
    <row r="245" spans="1:15" ht="13">
      <c r="A245" s="33">
        <v>43927.354950682871</v>
      </c>
      <c r="B245" s="35" t="s">
        <v>1228</v>
      </c>
      <c r="C245" s="35" t="s">
        <v>1230</v>
      </c>
      <c r="D245" s="38" t="s">
        <v>1231</v>
      </c>
      <c r="E245" s="38" t="s">
        <v>1233</v>
      </c>
      <c r="F245" s="35" t="s">
        <v>1234</v>
      </c>
      <c r="G245" s="35" t="s">
        <v>463</v>
      </c>
      <c r="H245" s="35" t="s">
        <v>33</v>
      </c>
      <c r="I245" s="35" t="s">
        <v>1235</v>
      </c>
      <c r="J245" s="35" t="s">
        <v>48</v>
      </c>
      <c r="K245" s="328" t="s">
        <v>1236</v>
      </c>
      <c r="L245" s="328" t="s">
        <v>1237</v>
      </c>
      <c r="M245" s="35" t="s">
        <v>67</v>
      </c>
      <c r="N245" s="327"/>
      <c r="O245" s="35" t="s">
        <v>26</v>
      </c>
    </row>
    <row r="246" spans="1:15" ht="13">
      <c r="A246" s="33">
        <v>43927.355717361112</v>
      </c>
      <c r="B246" s="35" t="s">
        <v>1281</v>
      </c>
      <c r="C246" s="35" t="s">
        <v>1282</v>
      </c>
      <c r="D246" s="38" t="s">
        <v>1231</v>
      </c>
      <c r="E246" s="38" t="s">
        <v>1283</v>
      </c>
      <c r="F246" s="35" t="s">
        <v>1284</v>
      </c>
      <c r="G246" s="35" t="s">
        <v>63</v>
      </c>
      <c r="H246" s="35" t="s">
        <v>33</v>
      </c>
      <c r="I246" s="35" t="s">
        <v>1285</v>
      </c>
      <c r="J246" s="35" t="s">
        <v>35</v>
      </c>
      <c r="K246" s="328" t="s">
        <v>1286</v>
      </c>
      <c r="M246" s="35" t="s">
        <v>83</v>
      </c>
      <c r="O246" s="35" t="s">
        <v>26</v>
      </c>
    </row>
    <row r="247" spans="1:15" ht="13">
      <c r="A247" s="33">
        <v>43927.357492974537</v>
      </c>
      <c r="B247" s="35" t="s">
        <v>6452</v>
      </c>
      <c r="C247" s="35" t="s">
        <v>6453</v>
      </c>
      <c r="D247" s="35" t="s">
        <v>6454</v>
      </c>
      <c r="E247" s="38" t="s">
        <v>6455</v>
      </c>
      <c r="F247" s="35" t="s">
        <v>6456</v>
      </c>
      <c r="G247" s="35" t="s">
        <v>996</v>
      </c>
      <c r="H247" s="35" t="s">
        <v>33</v>
      </c>
      <c r="I247" s="35" t="s">
        <v>67</v>
      </c>
      <c r="J247" s="35" t="s">
        <v>48</v>
      </c>
      <c r="K247" s="327"/>
      <c r="L247" s="327"/>
      <c r="M247" s="35" t="s">
        <v>67</v>
      </c>
      <c r="N247" s="327"/>
      <c r="O247" s="35" t="s">
        <v>26</v>
      </c>
    </row>
    <row r="248" spans="1:15" ht="13">
      <c r="A248" s="33">
        <v>43927.359786423607</v>
      </c>
      <c r="B248" s="35" t="s">
        <v>4941</v>
      </c>
      <c r="C248" s="35" t="s">
        <v>4942</v>
      </c>
      <c r="D248" s="35" t="s">
        <v>4943</v>
      </c>
      <c r="E248" s="38" t="s">
        <v>4944</v>
      </c>
      <c r="F248" s="35" t="s">
        <v>4945</v>
      </c>
      <c r="G248" s="35" t="s">
        <v>32</v>
      </c>
      <c r="H248" s="35" t="s">
        <v>33</v>
      </c>
      <c r="I248" s="35" t="s">
        <v>4946</v>
      </c>
      <c r="J248" s="35" t="s">
        <v>48</v>
      </c>
      <c r="K248" s="327"/>
      <c r="L248" s="327"/>
      <c r="M248" s="35" t="s">
        <v>67</v>
      </c>
      <c r="O248" s="35" t="s">
        <v>26</v>
      </c>
    </row>
    <row r="249" spans="1:15" ht="13">
      <c r="A249" s="33">
        <v>43927.362540590279</v>
      </c>
      <c r="B249" s="35" t="s">
        <v>2448</v>
      </c>
      <c r="C249" s="35" t="s">
        <v>2449</v>
      </c>
      <c r="D249" s="35" t="s">
        <v>1153</v>
      </c>
      <c r="E249" s="38" t="s">
        <v>2450</v>
      </c>
      <c r="F249" s="35" t="s">
        <v>2451</v>
      </c>
      <c r="G249" s="35" t="s">
        <v>322</v>
      </c>
      <c r="H249" s="35" t="s">
        <v>33</v>
      </c>
      <c r="I249" s="35" t="s">
        <v>2452</v>
      </c>
      <c r="J249" s="35" t="s">
        <v>48</v>
      </c>
      <c r="M249" s="35" t="s">
        <v>83</v>
      </c>
      <c r="O249" s="35" t="s">
        <v>26</v>
      </c>
    </row>
    <row r="250" spans="1:15" ht="13">
      <c r="A250" s="33">
        <v>43927.372880243056</v>
      </c>
      <c r="B250" s="35" t="s">
        <v>4164</v>
      </c>
      <c r="C250" s="35" t="s">
        <v>560</v>
      </c>
      <c r="D250" s="38" t="s">
        <v>4165</v>
      </c>
      <c r="E250" s="38" t="s">
        <v>4169</v>
      </c>
      <c r="F250" s="328" t="s">
        <v>4170</v>
      </c>
      <c r="G250" s="35" t="s">
        <v>1471</v>
      </c>
      <c r="H250" s="35" t="s">
        <v>33</v>
      </c>
      <c r="I250" s="35" t="s">
        <v>4171</v>
      </c>
      <c r="J250" s="35" t="s">
        <v>48</v>
      </c>
      <c r="K250" s="327"/>
      <c r="M250" s="35" t="s">
        <v>83</v>
      </c>
      <c r="O250" s="35" t="s">
        <v>26</v>
      </c>
    </row>
    <row r="251" spans="1:15" ht="13" hidden="1">
      <c r="A251" s="33">
        <v>43927.418560104168</v>
      </c>
      <c r="B251" s="35" t="s">
        <v>2393</v>
      </c>
      <c r="C251" s="35" t="s">
        <v>2394</v>
      </c>
      <c r="D251" s="35" t="s">
        <v>2395</v>
      </c>
      <c r="E251" s="38" t="s">
        <v>2396</v>
      </c>
      <c r="F251" s="35" t="s">
        <v>2397</v>
      </c>
      <c r="G251" s="35" t="s">
        <v>452</v>
      </c>
      <c r="H251" s="35" t="s">
        <v>46</v>
      </c>
      <c r="I251" s="35" t="s">
        <v>2398</v>
      </c>
      <c r="J251" s="35" t="s">
        <v>35</v>
      </c>
      <c r="K251" s="35" t="s">
        <v>2399</v>
      </c>
      <c r="L251" s="35" t="s">
        <v>2400</v>
      </c>
      <c r="M251" s="35" t="s">
        <v>83</v>
      </c>
      <c r="N251" s="35" t="s">
        <v>2401</v>
      </c>
      <c r="O251" s="35" t="s">
        <v>26</v>
      </c>
    </row>
    <row r="252" spans="1:15" ht="13">
      <c r="A252" s="33">
        <v>43927.427076481486</v>
      </c>
      <c r="B252" s="35" t="s">
        <v>7554</v>
      </c>
      <c r="C252" s="35" t="s">
        <v>560</v>
      </c>
      <c r="D252" s="38" t="s">
        <v>7555</v>
      </c>
      <c r="E252" s="38" t="s">
        <v>7556</v>
      </c>
      <c r="F252" s="327"/>
      <c r="G252" s="35" t="s">
        <v>3626</v>
      </c>
      <c r="H252" s="35" t="s">
        <v>33</v>
      </c>
      <c r="I252" s="35" t="s">
        <v>7559</v>
      </c>
      <c r="J252" s="35" t="s">
        <v>48</v>
      </c>
      <c r="K252" s="327"/>
      <c r="L252" s="327"/>
      <c r="M252" s="35" t="s">
        <v>83</v>
      </c>
      <c r="N252" s="327"/>
      <c r="O252" s="35" t="s">
        <v>26</v>
      </c>
    </row>
    <row r="253" spans="1:15" ht="13">
      <c r="A253" s="33">
        <v>43927.436090972224</v>
      </c>
      <c r="B253" s="35" t="s">
        <v>8916</v>
      </c>
      <c r="C253" s="35" t="s">
        <v>560</v>
      </c>
      <c r="D253" s="35" t="s">
        <v>8917</v>
      </c>
      <c r="E253" s="38" t="s">
        <v>8918</v>
      </c>
      <c r="F253" s="327"/>
      <c r="G253" s="35" t="s">
        <v>214</v>
      </c>
      <c r="H253" s="35" t="s">
        <v>33</v>
      </c>
      <c r="I253" s="35" t="s">
        <v>8919</v>
      </c>
      <c r="J253" s="35" t="s">
        <v>104</v>
      </c>
      <c r="K253" s="328" t="s">
        <v>8921</v>
      </c>
      <c r="L253" s="328" t="s">
        <v>8923</v>
      </c>
      <c r="M253" s="35" t="s">
        <v>83</v>
      </c>
      <c r="N253" s="328" t="s">
        <v>8924</v>
      </c>
      <c r="O253" s="35" t="s">
        <v>26</v>
      </c>
    </row>
    <row r="254" spans="1:15" ht="13" hidden="1">
      <c r="A254" s="33">
        <v>43927.449944618056</v>
      </c>
      <c r="B254" s="35" t="s">
        <v>2420</v>
      </c>
      <c r="C254" s="35" t="s">
        <v>2421</v>
      </c>
      <c r="D254" s="35" t="s">
        <v>2422</v>
      </c>
      <c r="E254" s="38" t="s">
        <v>2423</v>
      </c>
      <c r="F254" s="35" t="s">
        <v>2427</v>
      </c>
      <c r="G254" s="35" t="s">
        <v>2429</v>
      </c>
      <c r="H254" s="35" t="s">
        <v>46</v>
      </c>
      <c r="I254" s="35" t="s">
        <v>2430</v>
      </c>
      <c r="J254" s="35" t="s">
        <v>104</v>
      </c>
      <c r="M254" s="35" t="s">
        <v>83</v>
      </c>
      <c r="N254" s="35" t="s">
        <v>2432</v>
      </c>
      <c r="O254" s="35" t="s">
        <v>26</v>
      </c>
    </row>
    <row r="255" spans="1:15" ht="13" hidden="1">
      <c r="A255" s="33">
        <v>43927.450797708334</v>
      </c>
      <c r="B255" s="35" t="s">
        <v>2433</v>
      </c>
      <c r="C255" s="35" t="s">
        <v>2434</v>
      </c>
      <c r="D255" s="35" t="s">
        <v>2435</v>
      </c>
      <c r="E255" s="38" t="s">
        <v>2436</v>
      </c>
      <c r="F255" s="35" t="s">
        <v>2439</v>
      </c>
      <c r="G255" s="35" t="s">
        <v>363</v>
      </c>
      <c r="H255" s="35" t="s">
        <v>399</v>
      </c>
      <c r="I255" s="35" t="s">
        <v>2441</v>
      </c>
      <c r="J255" s="35" t="s">
        <v>35</v>
      </c>
      <c r="K255" s="35" t="s">
        <v>2443</v>
      </c>
      <c r="L255" s="35" t="s">
        <v>2445</v>
      </c>
      <c r="M255" s="35" t="s">
        <v>83</v>
      </c>
      <c r="N255" s="35" t="s">
        <v>2446</v>
      </c>
      <c r="O255" s="35" t="s">
        <v>26</v>
      </c>
    </row>
    <row r="256" spans="1:15" ht="13">
      <c r="A256" s="33">
        <v>43927.477731157407</v>
      </c>
      <c r="B256" s="35" t="s">
        <v>4370</v>
      </c>
      <c r="C256" s="35" t="s">
        <v>4371</v>
      </c>
      <c r="D256" s="35" t="s">
        <v>1153</v>
      </c>
      <c r="E256" s="38" t="s">
        <v>4372</v>
      </c>
      <c r="F256" s="35" t="s">
        <v>4376</v>
      </c>
      <c r="G256" s="35" t="s">
        <v>102</v>
      </c>
      <c r="H256" s="35" t="s">
        <v>33</v>
      </c>
      <c r="I256" s="35" t="s">
        <v>521</v>
      </c>
      <c r="J256" s="35" t="s">
        <v>81</v>
      </c>
      <c r="M256" s="35" t="s">
        <v>83</v>
      </c>
      <c r="O256" s="35" t="s">
        <v>26</v>
      </c>
    </row>
    <row r="257" spans="1:15" ht="13">
      <c r="A257" s="33">
        <v>43927.488864178245</v>
      </c>
      <c r="B257" s="35" t="s">
        <v>3949</v>
      </c>
      <c r="C257" s="35" t="s">
        <v>3950</v>
      </c>
      <c r="D257" s="35" t="s">
        <v>3951</v>
      </c>
      <c r="E257" s="328" t="s">
        <v>3952</v>
      </c>
      <c r="F257" s="35" t="s">
        <v>3953</v>
      </c>
      <c r="G257" s="35" t="s">
        <v>709</v>
      </c>
      <c r="H257" s="35" t="s">
        <v>33</v>
      </c>
      <c r="I257" s="35" t="s">
        <v>3954</v>
      </c>
      <c r="J257" s="35" t="s">
        <v>35</v>
      </c>
      <c r="K257" s="328" t="s">
        <v>3955</v>
      </c>
      <c r="L257" s="328" t="s">
        <v>3956</v>
      </c>
      <c r="M257" s="35" t="s">
        <v>83</v>
      </c>
      <c r="N257" s="327"/>
      <c r="O257" s="35" t="s">
        <v>26</v>
      </c>
    </row>
    <row r="258" spans="1:15" ht="13">
      <c r="A258" s="33">
        <v>43927.568167847217</v>
      </c>
      <c r="B258" s="35" t="s">
        <v>5543</v>
      </c>
      <c r="C258" s="35" t="s">
        <v>5544</v>
      </c>
      <c r="D258" s="35" t="s">
        <v>5545</v>
      </c>
      <c r="E258" s="38" t="s">
        <v>5546</v>
      </c>
      <c r="F258" s="35" t="s">
        <v>5551</v>
      </c>
      <c r="G258" s="35" t="s">
        <v>1823</v>
      </c>
      <c r="H258" s="35" t="s">
        <v>33</v>
      </c>
      <c r="I258" s="35" t="s">
        <v>5552</v>
      </c>
      <c r="J258" s="35" t="s">
        <v>35</v>
      </c>
      <c r="K258" s="327"/>
      <c r="L258" s="327"/>
      <c r="M258" s="35" t="s">
        <v>83</v>
      </c>
      <c r="O258" s="35" t="s">
        <v>26</v>
      </c>
    </row>
    <row r="259" spans="1:15" ht="13">
      <c r="A259" s="33">
        <v>43927.751965405092</v>
      </c>
      <c r="B259" s="35" t="s">
        <v>1697</v>
      </c>
      <c r="C259" s="35" t="s">
        <v>1699</v>
      </c>
      <c r="D259" s="35" t="s">
        <v>1700</v>
      </c>
      <c r="E259" s="38" t="s">
        <v>1702</v>
      </c>
      <c r="F259" s="35" t="s">
        <v>1703</v>
      </c>
      <c r="G259" s="35" t="s">
        <v>519</v>
      </c>
      <c r="H259" s="35" t="s">
        <v>33</v>
      </c>
      <c r="I259" s="35" t="s">
        <v>1704</v>
      </c>
      <c r="J259" s="35" t="s">
        <v>104</v>
      </c>
      <c r="K259" s="327"/>
      <c r="L259" s="327"/>
      <c r="M259" s="35" t="s">
        <v>83</v>
      </c>
      <c r="O259" s="35" t="s">
        <v>26</v>
      </c>
    </row>
    <row r="260" spans="1:15" ht="13">
      <c r="A260" s="33">
        <v>43927.76116804398</v>
      </c>
      <c r="B260" s="35" t="s">
        <v>3902</v>
      </c>
      <c r="C260" s="35" t="s">
        <v>3904</v>
      </c>
      <c r="D260" s="35" t="s">
        <v>3905</v>
      </c>
      <c r="E260" s="328" t="s">
        <v>3902</v>
      </c>
      <c r="F260" s="35" t="s">
        <v>3906</v>
      </c>
      <c r="G260" s="35" t="s">
        <v>2758</v>
      </c>
      <c r="H260" s="35" t="s">
        <v>33</v>
      </c>
      <c r="I260" s="35" t="s">
        <v>3907</v>
      </c>
      <c r="J260" s="35" t="s">
        <v>48</v>
      </c>
      <c r="K260" s="327"/>
      <c r="L260" s="327"/>
      <c r="M260" s="35" t="s">
        <v>67</v>
      </c>
      <c r="N260" s="327"/>
      <c r="O260" s="35" t="s">
        <v>26</v>
      </c>
    </row>
    <row r="261" spans="1:15" ht="13">
      <c r="A261" s="33">
        <v>43927.768728900468</v>
      </c>
      <c r="B261" s="35" t="s">
        <v>9117</v>
      </c>
      <c r="C261" s="35" t="s">
        <v>9118</v>
      </c>
      <c r="D261" s="328" t="s">
        <v>6028</v>
      </c>
      <c r="E261" s="38" t="s">
        <v>9119</v>
      </c>
      <c r="F261" s="327"/>
      <c r="G261" s="35" t="s">
        <v>322</v>
      </c>
      <c r="H261" s="35" t="s">
        <v>33</v>
      </c>
      <c r="I261" s="35" t="s">
        <v>9120</v>
      </c>
      <c r="J261" s="35" t="s">
        <v>104</v>
      </c>
      <c r="K261" s="328" t="s">
        <v>9121</v>
      </c>
      <c r="L261" s="328" t="s">
        <v>9122</v>
      </c>
      <c r="M261" s="35" t="s">
        <v>83</v>
      </c>
      <c r="O261" s="35" t="s">
        <v>26</v>
      </c>
    </row>
    <row r="262" spans="1:15" ht="13">
      <c r="A262" s="33">
        <v>43927.793836655095</v>
      </c>
      <c r="B262" s="35" t="s">
        <v>6697</v>
      </c>
      <c r="C262" s="35" t="s">
        <v>6698</v>
      </c>
      <c r="D262" s="35" t="s">
        <v>6699</v>
      </c>
      <c r="E262" s="38" t="s">
        <v>6700</v>
      </c>
      <c r="F262" s="327"/>
      <c r="G262" s="35" t="s">
        <v>161</v>
      </c>
      <c r="H262" s="35" t="s">
        <v>33</v>
      </c>
      <c r="I262" s="35" t="s">
        <v>6697</v>
      </c>
      <c r="J262" s="35" t="s">
        <v>48</v>
      </c>
      <c r="K262" s="328" t="s">
        <v>6701</v>
      </c>
      <c r="L262" s="328" t="s">
        <v>6702</v>
      </c>
      <c r="M262" s="35" t="s">
        <v>67</v>
      </c>
      <c r="N262" s="327"/>
      <c r="O262" s="35" t="s">
        <v>26</v>
      </c>
    </row>
    <row r="263" spans="1:15" ht="13" hidden="1">
      <c r="A263" s="33">
        <v>43927.800908032412</v>
      </c>
      <c r="B263" s="35" t="s">
        <v>2503</v>
      </c>
      <c r="C263" s="35" t="s">
        <v>2504</v>
      </c>
      <c r="D263" s="35" t="s">
        <v>2505</v>
      </c>
      <c r="E263" s="38" t="s">
        <v>2507</v>
      </c>
      <c r="F263" s="35" t="s">
        <v>2510</v>
      </c>
      <c r="G263" s="35" t="s">
        <v>2511</v>
      </c>
      <c r="H263" s="35" t="s">
        <v>46</v>
      </c>
      <c r="I263" s="35" t="s">
        <v>2512</v>
      </c>
      <c r="J263" s="35" t="s">
        <v>35</v>
      </c>
      <c r="M263" s="35" t="s">
        <v>67</v>
      </c>
      <c r="N263" s="35" t="s">
        <v>581</v>
      </c>
      <c r="O263" s="35" t="s">
        <v>26</v>
      </c>
    </row>
    <row r="264" spans="1:15" ht="13">
      <c r="A264" s="33">
        <v>43927.832023726849</v>
      </c>
      <c r="B264" s="35" t="s">
        <v>6300</v>
      </c>
      <c r="C264" s="35" t="s">
        <v>6301</v>
      </c>
      <c r="D264" s="35" t="s">
        <v>6302</v>
      </c>
      <c r="E264" s="38" t="s">
        <v>6303</v>
      </c>
      <c r="F264" s="35" t="s">
        <v>6304</v>
      </c>
      <c r="G264" s="35" t="s">
        <v>344</v>
      </c>
      <c r="H264" s="35" t="s">
        <v>33</v>
      </c>
      <c r="I264" s="35" t="s">
        <v>6305</v>
      </c>
      <c r="J264" s="35" t="s">
        <v>35</v>
      </c>
      <c r="K264" s="35" t="s">
        <v>6306</v>
      </c>
      <c r="L264" s="327"/>
      <c r="M264" s="35" t="s">
        <v>83</v>
      </c>
      <c r="N264" s="327"/>
      <c r="O264" s="35" t="s">
        <v>26</v>
      </c>
    </row>
    <row r="265" spans="1:15" ht="13">
      <c r="A265" s="33">
        <v>43927.839529351855</v>
      </c>
      <c r="B265" s="35" t="s">
        <v>6167</v>
      </c>
      <c r="C265" s="35" t="s">
        <v>6169</v>
      </c>
      <c r="D265" s="35" t="s">
        <v>5063</v>
      </c>
      <c r="E265" s="38" t="s">
        <v>6170</v>
      </c>
      <c r="F265" s="35" t="s">
        <v>6171</v>
      </c>
      <c r="G265" s="35" t="s">
        <v>220</v>
      </c>
      <c r="H265" s="35" t="s">
        <v>33</v>
      </c>
      <c r="I265" s="35" t="s">
        <v>6172</v>
      </c>
      <c r="J265" s="35" t="s">
        <v>48</v>
      </c>
      <c r="K265" s="328" t="s">
        <v>6172</v>
      </c>
      <c r="L265" s="328" t="s">
        <v>6173</v>
      </c>
      <c r="M265" s="35" t="s">
        <v>83</v>
      </c>
      <c r="O265" s="35" t="s">
        <v>26</v>
      </c>
    </row>
    <row r="266" spans="1:15" ht="13" hidden="1">
      <c r="A266" s="33">
        <v>43927.861870057866</v>
      </c>
      <c r="B266" s="35" t="s">
        <v>2530</v>
      </c>
      <c r="C266" s="35" t="s">
        <v>2531</v>
      </c>
      <c r="D266" s="35" t="s">
        <v>2532</v>
      </c>
      <c r="E266" s="38" t="s">
        <v>2533</v>
      </c>
      <c r="F266" s="35" t="s">
        <v>2536</v>
      </c>
      <c r="G266" s="35" t="s">
        <v>2537</v>
      </c>
      <c r="H266" s="35" t="s">
        <v>46</v>
      </c>
      <c r="I266" s="35" t="s">
        <v>425</v>
      </c>
      <c r="J266" s="35" t="s">
        <v>35</v>
      </c>
      <c r="M266" s="35" t="s">
        <v>83</v>
      </c>
      <c r="N266" s="35" t="s">
        <v>2538</v>
      </c>
      <c r="O266" s="35" t="s">
        <v>26</v>
      </c>
    </row>
    <row r="267" spans="1:15" ht="13" hidden="1">
      <c r="A267" s="33">
        <v>43927.874026620368</v>
      </c>
      <c r="B267" s="35" t="s">
        <v>2539</v>
      </c>
      <c r="C267" s="35" t="s">
        <v>2540</v>
      </c>
      <c r="D267" s="35" t="s">
        <v>2541</v>
      </c>
      <c r="E267" s="35" t="s">
        <v>2543</v>
      </c>
      <c r="F267" s="35" t="s">
        <v>2544</v>
      </c>
      <c r="G267" s="35" t="s">
        <v>134</v>
      </c>
      <c r="H267" s="35" t="s">
        <v>506</v>
      </c>
      <c r="I267" s="35" t="s">
        <v>2545</v>
      </c>
      <c r="J267" s="35" t="s">
        <v>48</v>
      </c>
      <c r="K267" s="35" t="s">
        <v>2546</v>
      </c>
      <c r="M267" s="35" t="s">
        <v>83</v>
      </c>
      <c r="N267" s="35" t="s">
        <v>1420</v>
      </c>
      <c r="O267" s="35" t="s">
        <v>26</v>
      </c>
    </row>
    <row r="268" spans="1:15" ht="13" hidden="1">
      <c r="A268" s="33">
        <v>43927.875961967591</v>
      </c>
      <c r="B268" s="35" t="s">
        <v>2547</v>
      </c>
      <c r="C268" s="35" t="s">
        <v>2548</v>
      </c>
      <c r="D268" s="35" t="s">
        <v>2549</v>
      </c>
      <c r="E268" s="38" t="s">
        <v>2550</v>
      </c>
      <c r="F268" s="35" t="s">
        <v>2551</v>
      </c>
      <c r="G268" s="35" t="s">
        <v>473</v>
      </c>
      <c r="H268" s="35" t="s">
        <v>46</v>
      </c>
      <c r="I268" s="35" t="s">
        <v>2552</v>
      </c>
      <c r="J268" s="35" t="s">
        <v>35</v>
      </c>
      <c r="K268" s="35" t="s">
        <v>2553</v>
      </c>
      <c r="M268" s="35" t="s">
        <v>67</v>
      </c>
      <c r="O268" s="35" t="s">
        <v>26</v>
      </c>
    </row>
    <row r="269" spans="1:15" ht="13">
      <c r="A269" s="33">
        <v>43927.878694965279</v>
      </c>
      <c r="B269" s="35" t="s">
        <v>2386</v>
      </c>
      <c r="C269" s="35" t="s">
        <v>2387</v>
      </c>
      <c r="D269" s="35" t="s">
        <v>2388</v>
      </c>
      <c r="E269" s="328" t="s">
        <v>2389</v>
      </c>
      <c r="F269" s="35" t="s">
        <v>2390</v>
      </c>
      <c r="G269" s="35" t="s">
        <v>709</v>
      </c>
      <c r="H269" s="35" t="s">
        <v>33</v>
      </c>
      <c r="I269" s="35" t="s">
        <v>2391</v>
      </c>
      <c r="J269" s="35" t="s">
        <v>48</v>
      </c>
      <c r="K269" s="328" t="s">
        <v>2392</v>
      </c>
      <c r="L269" s="327"/>
      <c r="M269" s="35" t="s">
        <v>83</v>
      </c>
      <c r="O269" s="35" t="s">
        <v>26</v>
      </c>
    </row>
    <row r="270" spans="1:15" ht="13" hidden="1">
      <c r="A270" s="33">
        <v>43927.882006782413</v>
      </c>
      <c r="B270" s="35" t="s">
        <v>2564</v>
      </c>
      <c r="C270" s="35" t="s">
        <v>620</v>
      </c>
      <c r="D270" s="35" t="s">
        <v>2565</v>
      </c>
      <c r="E270" s="38" t="s">
        <v>2566</v>
      </c>
      <c r="F270" s="35" t="s">
        <v>2567</v>
      </c>
      <c r="G270" s="35" t="s">
        <v>607</v>
      </c>
      <c r="H270" s="35" t="s">
        <v>46</v>
      </c>
      <c r="I270" s="35" t="s">
        <v>2568</v>
      </c>
      <c r="J270" s="35" t="s">
        <v>81</v>
      </c>
      <c r="K270" s="35" t="s">
        <v>2569</v>
      </c>
      <c r="L270" s="35" t="s">
        <v>2570</v>
      </c>
      <c r="M270" s="35" t="s">
        <v>83</v>
      </c>
      <c r="O270" s="35" t="s">
        <v>26</v>
      </c>
    </row>
    <row r="271" spans="1:15" ht="13" hidden="1">
      <c r="A271" s="33">
        <v>43927.898451018518</v>
      </c>
      <c r="B271" s="35" t="s">
        <v>2571</v>
      </c>
      <c r="C271" s="35" t="s">
        <v>2572</v>
      </c>
      <c r="D271" s="35" t="s">
        <v>1153</v>
      </c>
      <c r="E271" s="38" t="s">
        <v>2574</v>
      </c>
      <c r="F271" s="35" t="s">
        <v>2579</v>
      </c>
      <c r="G271" s="35" t="s">
        <v>802</v>
      </c>
      <c r="H271" s="35" t="s">
        <v>46</v>
      </c>
      <c r="I271" s="35" t="s">
        <v>425</v>
      </c>
      <c r="J271" s="35" t="s">
        <v>48</v>
      </c>
      <c r="M271" s="35" t="s">
        <v>67</v>
      </c>
      <c r="N271" s="35" t="s">
        <v>581</v>
      </c>
      <c r="O271" s="35" t="s">
        <v>26</v>
      </c>
    </row>
    <row r="272" spans="1:15" ht="13">
      <c r="A272" s="33">
        <v>43927.908769768517</v>
      </c>
      <c r="B272" s="35" t="s">
        <v>5708</v>
      </c>
      <c r="C272" s="35" t="s">
        <v>2387</v>
      </c>
      <c r="D272" s="35" t="s">
        <v>5063</v>
      </c>
      <c r="E272" s="38" t="s">
        <v>5711</v>
      </c>
      <c r="F272" s="328" t="s">
        <v>5713</v>
      </c>
      <c r="G272" s="35" t="s">
        <v>709</v>
      </c>
      <c r="H272" s="35" t="s">
        <v>33</v>
      </c>
      <c r="I272" s="35" t="s">
        <v>5714</v>
      </c>
      <c r="J272" s="35" t="s">
        <v>48</v>
      </c>
      <c r="K272" s="328" t="s">
        <v>5714</v>
      </c>
      <c r="L272" s="328" t="s">
        <v>5715</v>
      </c>
      <c r="M272" s="35" t="s">
        <v>83</v>
      </c>
      <c r="O272" s="35" t="s">
        <v>26</v>
      </c>
    </row>
    <row r="273" spans="1:15" ht="13">
      <c r="A273" s="33">
        <v>43927.911148460647</v>
      </c>
      <c r="B273" s="35" t="s">
        <v>5725</v>
      </c>
      <c r="C273" s="35" t="s">
        <v>2387</v>
      </c>
      <c r="D273" s="35" t="s">
        <v>5726</v>
      </c>
      <c r="E273" s="38" t="s">
        <v>5727</v>
      </c>
      <c r="F273" s="35" t="s">
        <v>5730</v>
      </c>
      <c r="G273" s="35" t="s">
        <v>709</v>
      </c>
      <c r="H273" s="35" t="s">
        <v>33</v>
      </c>
      <c r="I273" s="35" t="s">
        <v>5731</v>
      </c>
      <c r="J273" s="35" t="s">
        <v>48</v>
      </c>
      <c r="K273" s="328" t="s">
        <v>5731</v>
      </c>
      <c r="L273" s="328" t="s">
        <v>5731</v>
      </c>
      <c r="M273" s="35" t="s">
        <v>83</v>
      </c>
      <c r="O273" s="35" t="s">
        <v>26</v>
      </c>
    </row>
    <row r="274" spans="1:15" ht="13" hidden="1">
      <c r="A274" s="33">
        <v>43927.912958449073</v>
      </c>
      <c r="B274" s="35" t="s">
        <v>2599</v>
      </c>
      <c r="C274" s="35" t="s">
        <v>2600</v>
      </c>
      <c r="D274" s="35" t="s">
        <v>2601</v>
      </c>
      <c r="E274" s="38" t="s">
        <v>2602</v>
      </c>
      <c r="F274" s="35" t="s">
        <v>2607</v>
      </c>
      <c r="G274" s="35" t="s">
        <v>214</v>
      </c>
      <c r="H274" s="35" t="s">
        <v>387</v>
      </c>
      <c r="I274" s="35" t="s">
        <v>2608</v>
      </c>
      <c r="J274" s="35" t="s">
        <v>35</v>
      </c>
      <c r="M274" s="35" t="s">
        <v>83</v>
      </c>
      <c r="O274" s="35" t="s">
        <v>26</v>
      </c>
    </row>
    <row r="275" spans="1:15" ht="13" hidden="1">
      <c r="A275" s="33">
        <v>43927.913195081019</v>
      </c>
      <c r="B275" s="35" t="s">
        <v>2609</v>
      </c>
      <c r="C275" s="35" t="s">
        <v>2610</v>
      </c>
      <c r="D275" s="35" t="s">
        <v>2611</v>
      </c>
      <c r="E275" s="38" t="s">
        <v>2612</v>
      </c>
      <c r="F275" s="35" t="s">
        <v>2616</v>
      </c>
      <c r="G275" s="35" t="s">
        <v>1633</v>
      </c>
      <c r="H275" s="35" t="s">
        <v>2618</v>
      </c>
      <c r="I275" s="35" t="s">
        <v>2619</v>
      </c>
      <c r="J275" s="35" t="s">
        <v>35</v>
      </c>
      <c r="K275" s="35" t="s">
        <v>2621</v>
      </c>
      <c r="M275" s="35" t="s">
        <v>67</v>
      </c>
      <c r="N275" s="35" t="s">
        <v>2622</v>
      </c>
      <c r="O275" s="35" t="s">
        <v>26</v>
      </c>
    </row>
    <row r="276" spans="1:15" ht="13">
      <c r="A276" s="33">
        <v>43927.920382986107</v>
      </c>
      <c r="B276" s="35" t="s">
        <v>6180</v>
      </c>
      <c r="C276" s="35" t="s">
        <v>2387</v>
      </c>
      <c r="D276" s="35" t="s">
        <v>5063</v>
      </c>
      <c r="E276" s="38" t="s">
        <v>6181</v>
      </c>
      <c r="F276" s="35" t="s">
        <v>6182</v>
      </c>
      <c r="G276" s="35" t="s">
        <v>220</v>
      </c>
      <c r="H276" s="35" t="s">
        <v>33</v>
      </c>
      <c r="I276" s="35" t="s">
        <v>6172</v>
      </c>
      <c r="J276" s="35" t="s">
        <v>48</v>
      </c>
      <c r="K276" s="35" t="s">
        <v>6172</v>
      </c>
      <c r="L276" s="35" t="s">
        <v>6183</v>
      </c>
      <c r="M276" s="35" t="s">
        <v>83</v>
      </c>
      <c r="N276" s="327"/>
      <c r="O276" s="35" t="s">
        <v>26</v>
      </c>
    </row>
    <row r="277" spans="1:15" ht="13">
      <c r="A277" s="33">
        <v>43927.92148827546</v>
      </c>
      <c r="B277" s="35" t="s">
        <v>8849</v>
      </c>
      <c r="C277" s="35" t="s">
        <v>8850</v>
      </c>
      <c r="D277" s="35" t="s">
        <v>8851</v>
      </c>
      <c r="E277" s="38" t="s">
        <v>8852</v>
      </c>
      <c r="F277" s="327"/>
      <c r="G277" s="35" t="s">
        <v>802</v>
      </c>
      <c r="H277" s="35" t="s">
        <v>33</v>
      </c>
      <c r="I277" s="35" t="s">
        <v>8855</v>
      </c>
      <c r="J277" s="35" t="s">
        <v>81</v>
      </c>
      <c r="K277" s="328" t="s">
        <v>8856</v>
      </c>
      <c r="L277" s="328" t="s">
        <v>8857</v>
      </c>
      <c r="M277" s="35" t="s">
        <v>83</v>
      </c>
      <c r="O277" s="35" t="s">
        <v>26</v>
      </c>
    </row>
    <row r="278" spans="1:15" ht="13">
      <c r="A278" s="33">
        <v>43927.927459849539</v>
      </c>
      <c r="B278" s="35" t="s">
        <v>8391</v>
      </c>
      <c r="C278" s="35" t="s">
        <v>8392</v>
      </c>
      <c r="D278" s="35" t="s">
        <v>7473</v>
      </c>
      <c r="E278" s="328" t="s">
        <v>8391</v>
      </c>
      <c r="F278" s="327"/>
      <c r="G278" s="35" t="s">
        <v>8393</v>
      </c>
      <c r="H278" s="35" t="s">
        <v>33</v>
      </c>
      <c r="I278" s="328" t="s">
        <v>8394</v>
      </c>
      <c r="J278" s="328" t="s">
        <v>48</v>
      </c>
      <c r="K278" s="328" t="s">
        <v>8395</v>
      </c>
      <c r="L278" s="328" t="s">
        <v>8396</v>
      </c>
      <c r="M278" s="328" t="s">
        <v>83</v>
      </c>
      <c r="N278" s="327"/>
      <c r="O278" s="35" t="s">
        <v>26</v>
      </c>
    </row>
    <row r="279" spans="1:15" ht="13" hidden="1">
      <c r="A279" s="33">
        <v>43927.93265476852</v>
      </c>
      <c r="B279" s="35" t="s">
        <v>2608</v>
      </c>
      <c r="C279" s="35" t="s">
        <v>2652</v>
      </c>
      <c r="D279" s="35" t="s">
        <v>1423</v>
      </c>
      <c r="E279" s="38" t="s">
        <v>2653</v>
      </c>
      <c r="F279" s="35" t="s">
        <v>2654</v>
      </c>
      <c r="G279" s="35" t="s">
        <v>2655</v>
      </c>
      <c r="H279" s="35" t="s">
        <v>387</v>
      </c>
      <c r="I279" s="35" t="s">
        <v>2656</v>
      </c>
      <c r="J279" s="35" t="s">
        <v>35</v>
      </c>
      <c r="K279" s="35" t="s">
        <v>2657</v>
      </c>
      <c r="L279" s="35" t="s">
        <v>2658</v>
      </c>
      <c r="M279" s="35" t="s">
        <v>83</v>
      </c>
      <c r="O279" s="35" t="s">
        <v>26</v>
      </c>
    </row>
    <row r="280" spans="1:15" ht="13">
      <c r="A280" s="33">
        <v>43927.934197268522</v>
      </c>
      <c r="B280" s="35" t="s">
        <v>8359</v>
      </c>
      <c r="C280" s="35" t="s">
        <v>8360</v>
      </c>
      <c r="D280" s="35" t="s">
        <v>8361</v>
      </c>
      <c r="E280" s="38" t="s">
        <v>8362</v>
      </c>
      <c r="F280" s="327"/>
      <c r="G280" s="35" t="s">
        <v>802</v>
      </c>
      <c r="H280" s="35" t="s">
        <v>33</v>
      </c>
      <c r="I280" s="328" t="s">
        <v>8363</v>
      </c>
      <c r="J280" s="328" t="s">
        <v>48</v>
      </c>
      <c r="K280" s="327"/>
      <c r="L280" s="327"/>
      <c r="M280" s="328" t="s">
        <v>67</v>
      </c>
      <c r="O280" s="35" t="s">
        <v>26</v>
      </c>
    </row>
    <row r="281" spans="1:15" ht="13" hidden="1">
      <c r="A281" s="33">
        <v>43927.93796703704</v>
      </c>
      <c r="B281" s="35" t="s">
        <v>2669</v>
      </c>
      <c r="C281" s="35" t="s">
        <v>2670</v>
      </c>
      <c r="D281" s="35" t="s">
        <v>2671</v>
      </c>
      <c r="E281" s="38" t="s">
        <v>2672</v>
      </c>
      <c r="F281" s="35" t="s">
        <v>2674</v>
      </c>
      <c r="G281" s="35" t="s">
        <v>2675</v>
      </c>
      <c r="H281" s="35" t="s">
        <v>387</v>
      </c>
      <c r="I281" s="35" t="s">
        <v>2676</v>
      </c>
      <c r="J281" s="35" t="s">
        <v>35</v>
      </c>
      <c r="K281" s="35" t="s">
        <v>2676</v>
      </c>
      <c r="L281" s="35" t="s">
        <v>2677</v>
      </c>
      <c r="M281" s="35" t="s">
        <v>83</v>
      </c>
      <c r="O281" s="35" t="s">
        <v>26</v>
      </c>
    </row>
    <row r="282" spans="1:15" ht="13">
      <c r="A282" s="33">
        <v>43927.955740439815</v>
      </c>
      <c r="B282" s="35" t="s">
        <v>7280</v>
      </c>
      <c r="C282" s="35" t="s">
        <v>7281</v>
      </c>
      <c r="D282" s="35" t="s">
        <v>7282</v>
      </c>
      <c r="E282" s="38" t="s">
        <v>7283</v>
      </c>
      <c r="F282" s="327"/>
      <c r="G282" s="35" t="s">
        <v>709</v>
      </c>
      <c r="H282" s="35" t="s">
        <v>33</v>
      </c>
      <c r="I282" s="328" t="s">
        <v>7287</v>
      </c>
      <c r="J282" s="328" t="s">
        <v>35</v>
      </c>
      <c r="K282" s="327"/>
      <c r="L282" s="327"/>
      <c r="M282" s="328" t="s">
        <v>83</v>
      </c>
      <c r="N282" s="328" t="s">
        <v>1024</v>
      </c>
      <c r="O282" s="35" t="s">
        <v>26</v>
      </c>
    </row>
    <row r="283" spans="1:15" ht="13">
      <c r="A283" s="33">
        <v>43927.960807372685</v>
      </c>
      <c r="B283" s="328" t="s">
        <v>5916</v>
      </c>
      <c r="C283" s="328" t="s">
        <v>2652</v>
      </c>
      <c r="D283" s="328" t="s">
        <v>1423</v>
      </c>
      <c r="E283" s="38" t="s">
        <v>5917</v>
      </c>
      <c r="F283" s="328" t="s">
        <v>5921</v>
      </c>
      <c r="G283" s="328" t="s">
        <v>363</v>
      </c>
      <c r="H283" s="328" t="s">
        <v>33</v>
      </c>
      <c r="I283" s="328" t="s">
        <v>5922</v>
      </c>
      <c r="J283" s="328" t="s">
        <v>35</v>
      </c>
      <c r="K283" s="328" t="s">
        <v>5923</v>
      </c>
      <c r="L283" s="328" t="s">
        <v>5924</v>
      </c>
      <c r="M283" s="328" t="s">
        <v>83</v>
      </c>
      <c r="N283" s="328" t="s">
        <v>5925</v>
      </c>
      <c r="O283" s="35" t="s">
        <v>26</v>
      </c>
    </row>
    <row r="284" spans="1:15" ht="13" hidden="1">
      <c r="A284" s="33">
        <v>43927.967215821758</v>
      </c>
      <c r="B284" s="35" t="s">
        <v>2697</v>
      </c>
      <c r="C284" s="35" t="s">
        <v>2698</v>
      </c>
      <c r="D284" s="35" t="s">
        <v>2699</v>
      </c>
      <c r="E284" s="38" t="s">
        <v>2700</v>
      </c>
      <c r="F284" s="35" t="s">
        <v>2706</v>
      </c>
      <c r="G284" s="35" t="s">
        <v>1278</v>
      </c>
      <c r="H284" s="35" t="s">
        <v>46</v>
      </c>
      <c r="I284" s="35" t="s">
        <v>2707</v>
      </c>
      <c r="J284" s="35" t="s">
        <v>104</v>
      </c>
      <c r="K284" s="35" t="s">
        <v>2708</v>
      </c>
      <c r="M284" s="35" t="s">
        <v>83</v>
      </c>
      <c r="O284" s="35" t="s">
        <v>26</v>
      </c>
    </row>
    <row r="285" spans="1:15" ht="13">
      <c r="A285" s="33">
        <v>43927.971902361111</v>
      </c>
      <c r="B285" s="328" t="s">
        <v>6054</v>
      </c>
      <c r="C285" s="328" t="s">
        <v>2652</v>
      </c>
      <c r="D285" s="328" t="s">
        <v>6055</v>
      </c>
      <c r="E285" s="38" t="s">
        <v>6056</v>
      </c>
      <c r="F285" s="328" t="s">
        <v>6057</v>
      </c>
      <c r="G285" s="328" t="s">
        <v>161</v>
      </c>
      <c r="H285" s="328" t="s">
        <v>33</v>
      </c>
      <c r="I285" s="328" t="s">
        <v>6058</v>
      </c>
      <c r="J285" s="328" t="s">
        <v>81</v>
      </c>
      <c r="K285" s="327"/>
      <c r="L285" s="327"/>
      <c r="M285" s="328" t="s">
        <v>83</v>
      </c>
      <c r="N285" s="327"/>
      <c r="O285" s="35" t="s">
        <v>26</v>
      </c>
    </row>
    <row r="286" spans="1:15" ht="13" hidden="1">
      <c r="A286" s="33">
        <v>43927.987459143522</v>
      </c>
      <c r="B286" s="35" t="s">
        <v>2715</v>
      </c>
      <c r="C286" s="35" t="s">
        <v>2652</v>
      </c>
      <c r="D286" s="35" t="s">
        <v>2671</v>
      </c>
      <c r="E286" s="38" t="s">
        <v>2717</v>
      </c>
      <c r="F286" s="35" t="s">
        <v>2720</v>
      </c>
      <c r="G286" s="35" t="s">
        <v>2299</v>
      </c>
      <c r="H286" s="35" t="s">
        <v>387</v>
      </c>
      <c r="I286" s="35" t="s">
        <v>2721</v>
      </c>
      <c r="J286" s="35" t="s">
        <v>48</v>
      </c>
      <c r="M286" s="35" t="s">
        <v>83</v>
      </c>
      <c r="O286" s="35" t="s">
        <v>26</v>
      </c>
    </row>
    <row r="287" spans="1:15" ht="13">
      <c r="A287" s="33">
        <v>43927.989430405098</v>
      </c>
      <c r="B287" s="35" t="s">
        <v>8733</v>
      </c>
      <c r="C287" s="35" t="s">
        <v>2652</v>
      </c>
      <c r="D287" s="35" t="s">
        <v>7012</v>
      </c>
      <c r="E287" s="38" t="s">
        <v>8734</v>
      </c>
      <c r="F287" s="327"/>
      <c r="G287" s="35" t="s">
        <v>519</v>
      </c>
      <c r="H287" s="35" t="s">
        <v>33</v>
      </c>
      <c r="I287" s="35" t="s">
        <v>346</v>
      </c>
      <c r="J287" s="35" t="s">
        <v>48</v>
      </c>
      <c r="K287" s="328" t="s">
        <v>8736</v>
      </c>
      <c r="M287" s="35" t="s">
        <v>83</v>
      </c>
      <c r="O287" s="35" t="s">
        <v>26</v>
      </c>
    </row>
    <row r="288" spans="1:15" ht="13" hidden="1">
      <c r="A288" s="33">
        <v>43927.990942870369</v>
      </c>
      <c r="B288" s="35" t="s">
        <v>2735</v>
      </c>
      <c r="C288" s="35" t="s">
        <v>71</v>
      </c>
      <c r="D288" s="35" t="s">
        <v>1423</v>
      </c>
      <c r="E288" s="38" t="s">
        <v>2736</v>
      </c>
      <c r="F288" s="35" t="s">
        <v>2737</v>
      </c>
      <c r="G288" s="35" t="s">
        <v>2738</v>
      </c>
      <c r="H288" s="35" t="s">
        <v>387</v>
      </c>
      <c r="I288" s="35" t="s">
        <v>2608</v>
      </c>
      <c r="J288" s="35" t="s">
        <v>746</v>
      </c>
      <c r="M288" s="35" t="s">
        <v>83</v>
      </c>
      <c r="O288" s="35" t="s">
        <v>26</v>
      </c>
    </row>
    <row r="289" spans="1:15" ht="13" hidden="1">
      <c r="A289" s="33">
        <v>43928.005318032403</v>
      </c>
      <c r="B289" s="35" t="s">
        <v>2741</v>
      </c>
      <c r="C289" s="35" t="s">
        <v>2743</v>
      </c>
      <c r="D289" s="35" t="s">
        <v>2744</v>
      </c>
      <c r="E289" s="38" t="s">
        <v>2746</v>
      </c>
      <c r="F289" s="35" t="s">
        <v>2750</v>
      </c>
      <c r="G289" s="35" t="s">
        <v>363</v>
      </c>
      <c r="H289" s="35" t="s">
        <v>46</v>
      </c>
      <c r="I289" s="35" t="s">
        <v>2751</v>
      </c>
      <c r="J289" s="35" t="s">
        <v>35</v>
      </c>
      <c r="K289" s="35" t="s">
        <v>2752</v>
      </c>
      <c r="M289" s="35" t="s">
        <v>67</v>
      </c>
      <c r="N289" s="35" t="s">
        <v>68</v>
      </c>
      <c r="O289" s="35" t="s">
        <v>26</v>
      </c>
    </row>
    <row r="290" spans="1:15" ht="13" hidden="1">
      <c r="A290" s="33">
        <v>43928.016748136579</v>
      </c>
      <c r="B290" s="35" t="s">
        <v>2753</v>
      </c>
      <c r="C290" s="35" t="s">
        <v>2754</v>
      </c>
      <c r="D290" s="35" t="s">
        <v>2755</v>
      </c>
      <c r="E290" s="38" t="s">
        <v>2756</v>
      </c>
      <c r="F290" s="35" t="s">
        <v>2757</v>
      </c>
      <c r="G290" s="35" t="s">
        <v>2758</v>
      </c>
      <c r="H290" s="35" t="s">
        <v>46</v>
      </c>
      <c r="I290" s="35" t="s">
        <v>15</v>
      </c>
      <c r="J290" s="35" t="s">
        <v>48</v>
      </c>
      <c r="K290" s="35" t="s">
        <v>2759</v>
      </c>
      <c r="L290" s="35" t="s">
        <v>2760</v>
      </c>
      <c r="M290" s="35" t="s">
        <v>83</v>
      </c>
      <c r="N290" s="35" t="s">
        <v>2761</v>
      </c>
      <c r="O290" s="35" t="s">
        <v>26</v>
      </c>
    </row>
    <row r="291" spans="1:15" ht="13" hidden="1">
      <c r="A291" s="33">
        <v>43928.018758113423</v>
      </c>
      <c r="B291" s="35" t="s">
        <v>2763</v>
      </c>
      <c r="C291" s="35" t="s">
        <v>1356</v>
      </c>
      <c r="D291" s="35" t="s">
        <v>2764</v>
      </c>
      <c r="E291" s="38" t="s">
        <v>2766</v>
      </c>
      <c r="F291" s="35" t="s">
        <v>2770</v>
      </c>
      <c r="G291" s="35" t="s">
        <v>134</v>
      </c>
      <c r="H291" s="35" t="s">
        <v>46</v>
      </c>
      <c r="I291" s="35" t="s">
        <v>2771</v>
      </c>
      <c r="J291" s="35" t="s">
        <v>48</v>
      </c>
      <c r="M291" s="35" t="s">
        <v>83</v>
      </c>
      <c r="N291" s="35" t="s">
        <v>734</v>
      </c>
      <c r="O291" s="35" t="s">
        <v>26</v>
      </c>
    </row>
    <row r="292" spans="1:15" ht="13" hidden="1">
      <c r="A292" s="33">
        <v>43928.035269386572</v>
      </c>
      <c r="B292" s="35" t="s">
        <v>2773</v>
      </c>
      <c r="C292" s="35" t="s">
        <v>2774</v>
      </c>
      <c r="D292" s="35" t="s">
        <v>2775</v>
      </c>
      <c r="E292" s="38" t="s">
        <v>2776</v>
      </c>
      <c r="F292" s="35" t="s">
        <v>2778</v>
      </c>
      <c r="G292" s="35" t="s">
        <v>161</v>
      </c>
      <c r="H292" s="35" t="s">
        <v>46</v>
      </c>
      <c r="I292" s="35" t="s">
        <v>2780</v>
      </c>
      <c r="J292" s="35" t="s">
        <v>35</v>
      </c>
      <c r="M292" s="35" t="s">
        <v>83</v>
      </c>
      <c r="N292" s="35" t="s">
        <v>2783</v>
      </c>
      <c r="O292" s="35" t="s">
        <v>26</v>
      </c>
    </row>
    <row r="293" spans="1:15" ht="13">
      <c r="A293" s="33">
        <v>43928.037338159724</v>
      </c>
      <c r="B293" s="35" t="s">
        <v>1805</v>
      </c>
      <c r="C293" s="35" t="s">
        <v>1806</v>
      </c>
      <c r="D293" s="35" t="s">
        <v>1807</v>
      </c>
      <c r="E293" s="38" t="s">
        <v>1808</v>
      </c>
      <c r="F293" s="328" t="s">
        <v>1811</v>
      </c>
      <c r="G293" s="35" t="s">
        <v>1633</v>
      </c>
      <c r="H293" s="35" t="s">
        <v>33</v>
      </c>
      <c r="I293" s="35" t="s">
        <v>1813</v>
      </c>
      <c r="J293" s="35" t="s">
        <v>104</v>
      </c>
      <c r="K293" s="328" t="s">
        <v>1814</v>
      </c>
      <c r="L293" s="328" t="s">
        <v>1815</v>
      </c>
      <c r="M293" s="35" t="s">
        <v>83</v>
      </c>
      <c r="N293" s="328" t="s">
        <v>1816</v>
      </c>
      <c r="O293" s="35" t="s">
        <v>26</v>
      </c>
    </row>
    <row r="294" spans="1:15" ht="13">
      <c r="A294" s="33">
        <v>43928.037344317127</v>
      </c>
      <c r="B294" s="35" t="s">
        <v>4649</v>
      </c>
      <c r="C294" s="35" t="s">
        <v>4651</v>
      </c>
      <c r="D294" s="35" t="s">
        <v>4653</v>
      </c>
      <c r="E294" s="38" t="s">
        <v>4655</v>
      </c>
      <c r="F294" s="35" t="s">
        <v>4657</v>
      </c>
      <c r="G294" s="35" t="s">
        <v>4658</v>
      </c>
      <c r="H294" s="35" t="s">
        <v>33</v>
      </c>
      <c r="I294" s="35" t="s">
        <v>4659</v>
      </c>
      <c r="J294" s="35" t="s">
        <v>35</v>
      </c>
      <c r="K294" s="328" t="s">
        <v>4660</v>
      </c>
      <c r="L294" s="328" t="s">
        <v>4661</v>
      </c>
      <c r="M294" s="35" t="s">
        <v>83</v>
      </c>
      <c r="N294" s="328" t="s">
        <v>4662</v>
      </c>
      <c r="O294" s="35" t="s">
        <v>26</v>
      </c>
    </row>
    <row r="295" spans="1:15" ht="13" hidden="1">
      <c r="A295" s="33">
        <v>43928.044960601852</v>
      </c>
      <c r="B295" s="35" t="s">
        <v>2796</v>
      </c>
      <c r="C295" s="35" t="s">
        <v>2797</v>
      </c>
      <c r="D295" s="35" t="s">
        <v>2798</v>
      </c>
      <c r="E295" s="38" t="s">
        <v>2799</v>
      </c>
      <c r="F295" s="35" t="s">
        <v>2801</v>
      </c>
      <c r="G295" s="35" t="s">
        <v>220</v>
      </c>
      <c r="H295" s="35" t="s">
        <v>46</v>
      </c>
      <c r="I295" s="35" t="s">
        <v>2771</v>
      </c>
      <c r="J295" s="35" t="s">
        <v>104</v>
      </c>
      <c r="K295" s="35" t="s">
        <v>2802</v>
      </c>
      <c r="M295" s="35" t="s">
        <v>83</v>
      </c>
      <c r="N295" s="35" t="s">
        <v>2803</v>
      </c>
      <c r="O295" s="35" t="s">
        <v>26</v>
      </c>
    </row>
    <row r="296" spans="1:15" ht="13">
      <c r="A296" s="33">
        <v>43928.052427581017</v>
      </c>
      <c r="B296" s="35" t="s">
        <v>9132</v>
      </c>
      <c r="C296" s="35" t="s">
        <v>9133</v>
      </c>
      <c r="D296" s="35" t="s">
        <v>9134</v>
      </c>
      <c r="E296" s="38" t="s">
        <v>9135</v>
      </c>
      <c r="F296" s="327"/>
      <c r="G296" s="35" t="s">
        <v>519</v>
      </c>
      <c r="H296" s="35" t="s">
        <v>33</v>
      </c>
      <c r="I296" s="35" t="s">
        <v>9136</v>
      </c>
      <c r="J296" s="35" t="s">
        <v>104</v>
      </c>
      <c r="K296" s="327"/>
      <c r="L296" s="327"/>
      <c r="M296" s="35" t="s">
        <v>83</v>
      </c>
      <c r="N296" s="327"/>
      <c r="O296" s="35" t="s">
        <v>26</v>
      </c>
    </row>
    <row r="297" spans="1:15" ht="13" hidden="1">
      <c r="A297" s="33">
        <v>43928.065333877312</v>
      </c>
      <c r="B297" s="35" t="s">
        <v>2814</v>
      </c>
      <c r="C297" s="35" t="s">
        <v>2815</v>
      </c>
      <c r="D297" s="35" t="s">
        <v>2816</v>
      </c>
      <c r="E297" s="38" t="s">
        <v>2818</v>
      </c>
      <c r="F297" s="35" t="s">
        <v>2820</v>
      </c>
      <c r="G297" s="35" t="s">
        <v>63</v>
      </c>
      <c r="H297" s="35" t="s">
        <v>46</v>
      </c>
      <c r="I297" s="35" t="s">
        <v>2821</v>
      </c>
      <c r="J297" s="35" t="s">
        <v>48</v>
      </c>
      <c r="M297" s="35" t="s">
        <v>83</v>
      </c>
      <c r="N297" s="35" t="s">
        <v>2822</v>
      </c>
      <c r="O297" s="35" t="s">
        <v>26</v>
      </c>
    </row>
    <row r="298" spans="1:15" ht="13">
      <c r="A298" s="33">
        <v>43928.078466979168</v>
      </c>
      <c r="B298" s="35" t="s">
        <v>4900</v>
      </c>
      <c r="C298" s="35" t="s">
        <v>4901</v>
      </c>
      <c r="D298" s="35" t="s">
        <v>4902</v>
      </c>
      <c r="E298" s="38" t="s">
        <v>4903</v>
      </c>
      <c r="F298" s="35" t="s">
        <v>4908</v>
      </c>
      <c r="G298" s="35" t="s">
        <v>161</v>
      </c>
      <c r="H298" s="35" t="s">
        <v>33</v>
      </c>
      <c r="I298" s="35" t="s">
        <v>4909</v>
      </c>
      <c r="J298" s="35" t="s">
        <v>104</v>
      </c>
      <c r="K298" s="327"/>
      <c r="L298" s="327"/>
      <c r="M298" s="35" t="s">
        <v>67</v>
      </c>
      <c r="N298" s="327"/>
      <c r="O298" s="35" t="s">
        <v>26</v>
      </c>
    </row>
    <row r="299" spans="1:15" ht="13">
      <c r="A299" s="33">
        <v>43928.089536145832</v>
      </c>
      <c r="B299" s="35" t="s">
        <v>4570</v>
      </c>
      <c r="C299" s="35" t="s">
        <v>4571</v>
      </c>
      <c r="D299" s="35" t="s">
        <v>1153</v>
      </c>
      <c r="E299" s="38" t="s">
        <v>4572</v>
      </c>
      <c r="F299" s="35" t="s">
        <v>4575</v>
      </c>
      <c r="G299" s="35" t="s">
        <v>1739</v>
      </c>
      <c r="H299" s="35" t="s">
        <v>33</v>
      </c>
      <c r="I299" s="35" t="s">
        <v>425</v>
      </c>
      <c r="J299" s="35" t="s">
        <v>48</v>
      </c>
      <c r="K299" s="327"/>
      <c r="L299" s="327"/>
      <c r="M299" s="35" t="s">
        <v>83</v>
      </c>
      <c r="N299" s="328" t="s">
        <v>92</v>
      </c>
      <c r="O299" s="35" t="s">
        <v>26</v>
      </c>
    </row>
    <row r="300" spans="1:15" ht="13">
      <c r="A300" s="33">
        <v>43928.090871168984</v>
      </c>
      <c r="B300" s="35" t="s">
        <v>9578</v>
      </c>
      <c r="C300" s="324" t="s">
        <v>9579</v>
      </c>
      <c r="D300" s="324" t="s">
        <v>6286</v>
      </c>
      <c r="E300" s="323" t="s">
        <v>9580</v>
      </c>
      <c r="F300" s="327"/>
      <c r="G300" s="324" t="s">
        <v>32</v>
      </c>
      <c r="H300" s="324" t="s">
        <v>33</v>
      </c>
      <c r="I300" s="324" t="s">
        <v>9546</v>
      </c>
      <c r="J300" s="324" t="s">
        <v>48</v>
      </c>
      <c r="K300" s="327"/>
      <c r="L300" s="327"/>
      <c r="M300" s="324" t="s">
        <v>83</v>
      </c>
      <c r="N300" s="324" t="s">
        <v>9551</v>
      </c>
      <c r="O300" s="35" t="s">
        <v>26</v>
      </c>
    </row>
    <row r="301" spans="1:15" ht="13">
      <c r="A301" s="33">
        <v>43928.094045057871</v>
      </c>
      <c r="B301" s="35" t="s">
        <v>2249</v>
      </c>
      <c r="C301" s="35" t="s">
        <v>2250</v>
      </c>
      <c r="D301" s="35" t="s">
        <v>2251</v>
      </c>
      <c r="E301" s="38" t="s">
        <v>2252</v>
      </c>
      <c r="F301" s="35" t="s">
        <v>2253</v>
      </c>
      <c r="G301" s="35" t="s">
        <v>2254</v>
      </c>
      <c r="H301" s="35" t="s">
        <v>33</v>
      </c>
      <c r="I301" s="35" t="s">
        <v>2255</v>
      </c>
      <c r="J301" s="35" t="s">
        <v>35</v>
      </c>
      <c r="K301" s="328" t="s">
        <v>2256</v>
      </c>
      <c r="L301" s="328" t="s">
        <v>2257</v>
      </c>
      <c r="M301" s="35" t="s">
        <v>83</v>
      </c>
      <c r="N301" s="327"/>
      <c r="O301" s="35" t="s">
        <v>26</v>
      </c>
    </row>
    <row r="302" spans="1:15" ht="13" hidden="1">
      <c r="A302" s="33">
        <v>43928.097064201385</v>
      </c>
      <c r="B302" s="35" t="s">
        <v>2865</v>
      </c>
      <c r="C302" s="35" t="s">
        <v>2866</v>
      </c>
      <c r="D302" s="35" t="s">
        <v>2867</v>
      </c>
      <c r="E302" s="38" t="s">
        <v>2868</v>
      </c>
      <c r="F302" s="35" t="s">
        <v>2869</v>
      </c>
      <c r="G302" s="35" t="s">
        <v>1278</v>
      </c>
      <c r="H302" s="35" t="s">
        <v>46</v>
      </c>
      <c r="I302" s="35" t="s">
        <v>2870</v>
      </c>
      <c r="J302" s="35" t="s">
        <v>81</v>
      </c>
      <c r="K302" s="35" t="s">
        <v>2871</v>
      </c>
      <c r="L302" s="35" t="s">
        <v>2872</v>
      </c>
      <c r="M302" s="35" t="s">
        <v>83</v>
      </c>
      <c r="N302" s="35" t="s">
        <v>826</v>
      </c>
      <c r="O302" s="35" t="s">
        <v>26</v>
      </c>
    </row>
    <row r="303" spans="1:15" ht="13">
      <c r="A303" s="33">
        <v>43928.107448645838</v>
      </c>
      <c r="B303" s="35" t="s">
        <v>9037</v>
      </c>
      <c r="C303" s="35" t="s">
        <v>9038</v>
      </c>
      <c r="D303" s="328" t="s">
        <v>9039</v>
      </c>
      <c r="E303" s="328" t="s">
        <v>9040</v>
      </c>
      <c r="F303" s="327"/>
      <c r="G303" s="35" t="s">
        <v>1823</v>
      </c>
      <c r="H303" s="35" t="s">
        <v>33</v>
      </c>
      <c r="I303" s="35" t="s">
        <v>9041</v>
      </c>
      <c r="J303" s="35" t="s">
        <v>104</v>
      </c>
      <c r="K303" s="35" t="s">
        <v>9042</v>
      </c>
      <c r="L303" s="35" t="s">
        <v>9043</v>
      </c>
      <c r="M303" s="35" t="s">
        <v>83</v>
      </c>
      <c r="N303" s="327"/>
      <c r="O303" s="35" t="s">
        <v>26</v>
      </c>
    </row>
    <row r="304" spans="1:15" ht="13" hidden="1">
      <c r="A304" s="33">
        <v>43928.10958971065</v>
      </c>
      <c r="B304" s="35" t="s">
        <v>2886</v>
      </c>
      <c r="C304" s="35" t="s">
        <v>2887</v>
      </c>
      <c r="D304" s="35" t="s">
        <v>2888</v>
      </c>
      <c r="E304" s="38" t="s">
        <v>2889</v>
      </c>
      <c r="F304" s="35" t="s">
        <v>2890</v>
      </c>
      <c r="G304" s="35" t="s">
        <v>1823</v>
      </c>
      <c r="H304" s="35" t="s">
        <v>46</v>
      </c>
      <c r="I304" s="35" t="s">
        <v>2891</v>
      </c>
      <c r="J304" s="35" t="s">
        <v>48</v>
      </c>
      <c r="K304" s="35" t="s">
        <v>2892</v>
      </c>
      <c r="L304" s="35" t="s">
        <v>2893</v>
      </c>
      <c r="M304" s="35" t="s">
        <v>67</v>
      </c>
      <c r="N304" s="35" t="s">
        <v>1112</v>
      </c>
      <c r="O304" s="35" t="s">
        <v>26</v>
      </c>
    </row>
    <row r="305" spans="1:15" ht="13">
      <c r="A305" s="33">
        <v>43928.113272222225</v>
      </c>
      <c r="B305" s="35" t="s">
        <v>9126</v>
      </c>
      <c r="C305" s="35" t="s">
        <v>9127</v>
      </c>
      <c r="D305" s="35" t="s">
        <v>8645</v>
      </c>
      <c r="E305" s="38" t="s">
        <v>9128</v>
      </c>
      <c r="F305" s="327"/>
      <c r="G305" s="35" t="s">
        <v>452</v>
      </c>
      <c r="H305" s="35" t="s">
        <v>33</v>
      </c>
      <c r="I305" s="328" t="s">
        <v>15</v>
      </c>
      <c r="J305" s="328" t="s">
        <v>104</v>
      </c>
      <c r="K305" s="327"/>
      <c r="M305" s="328" t="s">
        <v>83</v>
      </c>
      <c r="O305" s="35" t="s">
        <v>26</v>
      </c>
    </row>
    <row r="306" spans="1:15" ht="13">
      <c r="A306" s="33">
        <v>43928.124727974537</v>
      </c>
      <c r="B306" s="35" t="s">
        <v>3212</v>
      </c>
      <c r="C306" s="35" t="s">
        <v>3213</v>
      </c>
      <c r="D306" s="35" t="s">
        <v>3214</v>
      </c>
      <c r="E306" s="328" t="s">
        <v>3212</v>
      </c>
      <c r="F306" s="35" t="s">
        <v>3216</v>
      </c>
      <c r="G306" s="35" t="s">
        <v>363</v>
      </c>
      <c r="H306" s="35" t="s">
        <v>33</v>
      </c>
      <c r="I306" s="328" t="s">
        <v>3218</v>
      </c>
      <c r="J306" s="328" t="s">
        <v>48</v>
      </c>
      <c r="M306" s="328" t="s">
        <v>67</v>
      </c>
      <c r="O306" s="35" t="s">
        <v>26</v>
      </c>
    </row>
    <row r="307" spans="1:15" ht="13">
      <c r="A307" s="33">
        <v>43928.136810104166</v>
      </c>
      <c r="B307" s="35" t="s">
        <v>2586</v>
      </c>
      <c r="C307" s="35" t="s">
        <v>2153</v>
      </c>
      <c r="D307" s="35" t="s">
        <v>2587</v>
      </c>
      <c r="E307" s="38" t="s">
        <v>2588</v>
      </c>
      <c r="F307" s="35" t="s">
        <v>2594</v>
      </c>
      <c r="G307" s="35" t="s">
        <v>2595</v>
      </c>
      <c r="H307" s="35" t="s">
        <v>33</v>
      </c>
      <c r="I307" s="328" t="s">
        <v>2596</v>
      </c>
      <c r="J307" s="328" t="s">
        <v>35</v>
      </c>
      <c r="K307" s="328" t="s">
        <v>2597</v>
      </c>
      <c r="L307" s="328" t="s">
        <v>2598</v>
      </c>
      <c r="M307" s="328" t="s">
        <v>83</v>
      </c>
      <c r="O307" s="35" t="s">
        <v>26</v>
      </c>
    </row>
    <row r="308" spans="1:15" ht="13">
      <c r="A308" s="33">
        <v>43928.137321365743</v>
      </c>
      <c r="B308" s="35" t="s">
        <v>6528</v>
      </c>
      <c r="C308" s="35" t="s">
        <v>6529</v>
      </c>
      <c r="D308" s="35" t="s">
        <v>6530</v>
      </c>
      <c r="E308" s="38" t="s">
        <v>6531</v>
      </c>
      <c r="F308" s="35" t="s">
        <v>6536</v>
      </c>
      <c r="G308" s="35" t="s">
        <v>363</v>
      </c>
      <c r="H308" s="35" t="s">
        <v>33</v>
      </c>
      <c r="I308" s="35" t="s">
        <v>6537</v>
      </c>
      <c r="J308" s="35" t="s">
        <v>104</v>
      </c>
      <c r="K308" s="327"/>
      <c r="L308" s="327"/>
      <c r="M308" s="35" t="s">
        <v>83</v>
      </c>
      <c r="O308" s="35" t="s">
        <v>26</v>
      </c>
    </row>
    <row r="309" spans="1:15" ht="13">
      <c r="A309" s="33">
        <v>43928.14198961806</v>
      </c>
      <c r="B309" s="35" t="s">
        <v>7775</v>
      </c>
      <c r="C309" s="35" t="s">
        <v>2153</v>
      </c>
      <c r="D309" s="35" t="s">
        <v>6808</v>
      </c>
      <c r="E309" s="38" t="s">
        <v>7776</v>
      </c>
      <c r="F309" s="327"/>
      <c r="G309" s="35" t="s">
        <v>519</v>
      </c>
      <c r="H309" s="35" t="s">
        <v>33</v>
      </c>
      <c r="I309" s="35" t="s">
        <v>7777</v>
      </c>
      <c r="J309" s="35" t="s">
        <v>48</v>
      </c>
      <c r="K309" s="328" t="s">
        <v>7778</v>
      </c>
      <c r="M309" s="35" t="s">
        <v>67</v>
      </c>
      <c r="O309" s="35" t="s">
        <v>26</v>
      </c>
    </row>
    <row r="310" spans="1:15" ht="13">
      <c r="A310" s="33">
        <v>43928.158529479166</v>
      </c>
      <c r="B310" s="35" t="s">
        <v>7775</v>
      </c>
      <c r="C310" s="35" t="s">
        <v>2153</v>
      </c>
      <c r="D310" s="35" t="s">
        <v>6808</v>
      </c>
      <c r="E310" s="38" t="s">
        <v>7776</v>
      </c>
      <c r="F310" s="327"/>
      <c r="G310" s="35" t="s">
        <v>519</v>
      </c>
      <c r="H310" s="35" t="s">
        <v>33</v>
      </c>
      <c r="I310" s="35" t="s">
        <v>7788</v>
      </c>
      <c r="J310" s="35" t="s">
        <v>104</v>
      </c>
      <c r="K310" s="328" t="s">
        <v>7778</v>
      </c>
      <c r="M310" s="35" t="s">
        <v>67</v>
      </c>
      <c r="N310" s="328" t="s">
        <v>862</v>
      </c>
      <c r="O310" s="35" t="s">
        <v>26</v>
      </c>
    </row>
    <row r="311" spans="1:15" ht="13" hidden="1">
      <c r="A311" s="33">
        <v>43928.163493194443</v>
      </c>
      <c r="B311" s="35" t="s">
        <v>2935</v>
      </c>
      <c r="C311" s="35" t="s">
        <v>2936</v>
      </c>
      <c r="D311" s="35" t="s">
        <v>2937</v>
      </c>
      <c r="E311" s="38" t="s">
        <v>2938</v>
      </c>
      <c r="F311" s="35" t="s">
        <v>2939</v>
      </c>
      <c r="G311" s="35" t="s">
        <v>2940</v>
      </c>
      <c r="H311" s="35" t="s">
        <v>387</v>
      </c>
      <c r="I311" s="35" t="s">
        <v>2941</v>
      </c>
      <c r="J311" s="35" t="s">
        <v>48</v>
      </c>
      <c r="M311" s="35" t="s">
        <v>67</v>
      </c>
      <c r="O311" s="35" t="s">
        <v>26</v>
      </c>
    </row>
    <row r="312" spans="1:15" ht="13" hidden="1">
      <c r="A312" s="33">
        <v>43928.170468622688</v>
      </c>
      <c r="B312" s="35" t="s">
        <v>2942</v>
      </c>
      <c r="C312" s="35" t="s">
        <v>2943</v>
      </c>
      <c r="D312" s="35" t="s">
        <v>2944</v>
      </c>
      <c r="E312" s="38" t="s">
        <v>2945</v>
      </c>
      <c r="F312" s="35" t="s">
        <v>2951</v>
      </c>
      <c r="G312" s="35" t="s">
        <v>931</v>
      </c>
      <c r="H312" s="35" t="s">
        <v>399</v>
      </c>
      <c r="I312" s="35" t="s">
        <v>2952</v>
      </c>
      <c r="J312" s="35" t="s">
        <v>104</v>
      </c>
      <c r="M312" s="35" t="s">
        <v>83</v>
      </c>
      <c r="O312" s="35" t="s">
        <v>26</v>
      </c>
    </row>
    <row r="313" spans="1:15" ht="13" hidden="1">
      <c r="A313" s="33">
        <v>43928.198201886575</v>
      </c>
      <c r="B313" s="35" t="s">
        <v>2953</v>
      </c>
      <c r="C313" s="35" t="s">
        <v>2943</v>
      </c>
      <c r="D313" s="35" t="s">
        <v>2954</v>
      </c>
      <c r="E313" s="38" t="s">
        <v>2955</v>
      </c>
      <c r="F313" s="35" t="s">
        <v>2957</v>
      </c>
      <c r="G313" s="35" t="s">
        <v>2958</v>
      </c>
      <c r="H313" s="35" t="s">
        <v>387</v>
      </c>
      <c r="I313" s="35" t="s">
        <v>2959</v>
      </c>
      <c r="J313" s="35" t="s">
        <v>305</v>
      </c>
      <c r="K313" s="38" t="s">
        <v>2960</v>
      </c>
      <c r="M313" s="35" t="s">
        <v>83</v>
      </c>
      <c r="O313" s="35" t="s">
        <v>26</v>
      </c>
    </row>
    <row r="314" spans="1:15" ht="13">
      <c r="A314" s="33">
        <v>43928.21913986111</v>
      </c>
      <c r="B314" s="35" t="s">
        <v>7775</v>
      </c>
      <c r="C314" s="35" t="s">
        <v>2153</v>
      </c>
      <c r="D314" s="35" t="s">
        <v>6808</v>
      </c>
      <c r="E314" s="38" t="s">
        <v>7776</v>
      </c>
      <c r="F314" s="327"/>
      <c r="G314" s="35" t="s">
        <v>519</v>
      </c>
      <c r="H314" s="35" t="s">
        <v>33</v>
      </c>
      <c r="I314" s="35" t="s">
        <v>7788</v>
      </c>
      <c r="J314" s="35" t="s">
        <v>104</v>
      </c>
      <c r="K314" s="328" t="s">
        <v>7778</v>
      </c>
      <c r="L314" s="327"/>
      <c r="M314" s="35" t="s">
        <v>67</v>
      </c>
      <c r="N314" s="328" t="s">
        <v>862</v>
      </c>
      <c r="O314" s="35" t="s">
        <v>26</v>
      </c>
    </row>
    <row r="315" spans="1:15" ht="13">
      <c r="A315" s="33">
        <v>43928.222448726854</v>
      </c>
      <c r="B315" s="328" t="s">
        <v>2479</v>
      </c>
      <c r="C315" s="328" t="s">
        <v>328</v>
      </c>
      <c r="D315" s="328" t="s">
        <v>2480</v>
      </c>
      <c r="E315" s="328" t="s">
        <v>2479</v>
      </c>
      <c r="F315" s="328" t="s">
        <v>2481</v>
      </c>
      <c r="G315" s="328" t="s">
        <v>1185</v>
      </c>
      <c r="H315" s="328" t="s">
        <v>33</v>
      </c>
      <c r="I315" s="328" t="s">
        <v>2482</v>
      </c>
      <c r="J315" s="328" t="s">
        <v>48</v>
      </c>
      <c r="K315" s="327"/>
      <c r="L315" s="327"/>
      <c r="M315" s="328" t="s">
        <v>83</v>
      </c>
      <c r="N315" s="327"/>
      <c r="O315" s="35" t="s">
        <v>26</v>
      </c>
    </row>
    <row r="316" spans="1:15" ht="13">
      <c r="A316" s="33">
        <v>43928.233690000001</v>
      </c>
      <c r="B316" s="35" t="s">
        <v>2900</v>
      </c>
      <c r="C316" s="35" t="s">
        <v>2901</v>
      </c>
      <c r="D316" s="35" t="s">
        <v>2902</v>
      </c>
      <c r="E316" s="38" t="s">
        <v>2903</v>
      </c>
      <c r="F316" s="328" t="s">
        <v>2905</v>
      </c>
      <c r="G316" s="35" t="s">
        <v>1185</v>
      </c>
      <c r="H316" s="35" t="s">
        <v>33</v>
      </c>
      <c r="I316" s="35" t="s">
        <v>2391</v>
      </c>
      <c r="J316" s="35" t="s">
        <v>48</v>
      </c>
      <c r="M316" s="35" t="s">
        <v>83</v>
      </c>
      <c r="O316" s="35" t="s">
        <v>26</v>
      </c>
    </row>
    <row r="317" spans="1:15" ht="13" hidden="1">
      <c r="A317" s="33">
        <v>43928.238223773151</v>
      </c>
      <c r="B317" s="35" t="s">
        <v>2985</v>
      </c>
      <c r="C317" s="35" t="s">
        <v>2986</v>
      </c>
      <c r="D317" s="35" t="s">
        <v>2987</v>
      </c>
      <c r="E317" s="38" t="s">
        <v>2988</v>
      </c>
      <c r="F317" s="35" t="s">
        <v>2992</v>
      </c>
      <c r="G317" s="35" t="s">
        <v>1185</v>
      </c>
      <c r="H317" s="35" t="s">
        <v>2993</v>
      </c>
      <c r="I317" s="35" t="s">
        <v>2976</v>
      </c>
      <c r="J317" s="35" t="s">
        <v>81</v>
      </c>
      <c r="M317" s="35" t="s">
        <v>83</v>
      </c>
      <c r="N317" s="35" t="s">
        <v>2994</v>
      </c>
      <c r="O317" s="35" t="s">
        <v>26</v>
      </c>
    </row>
    <row r="318" spans="1:15" ht="13" hidden="1">
      <c r="A318" s="33">
        <v>43928.244520821754</v>
      </c>
      <c r="B318" s="35" t="s">
        <v>2996</v>
      </c>
      <c r="C318" s="35" t="s">
        <v>2997</v>
      </c>
      <c r="D318" s="35" t="s">
        <v>2998</v>
      </c>
      <c r="E318" s="38" t="s">
        <v>2999</v>
      </c>
      <c r="F318" s="35" t="s">
        <v>3000</v>
      </c>
      <c r="G318" s="35" t="s">
        <v>3001</v>
      </c>
      <c r="H318" s="35" t="s">
        <v>506</v>
      </c>
      <c r="I318" s="35" t="s">
        <v>3002</v>
      </c>
      <c r="J318" s="35" t="s">
        <v>104</v>
      </c>
      <c r="M318" s="35" t="s">
        <v>83</v>
      </c>
      <c r="N318" s="35" t="s">
        <v>3003</v>
      </c>
      <c r="O318" s="35" t="s">
        <v>26</v>
      </c>
    </row>
    <row r="319" spans="1:15" ht="13">
      <c r="A319" s="33">
        <v>43928.249525150459</v>
      </c>
      <c r="B319" s="35" t="s">
        <v>3957</v>
      </c>
      <c r="C319" s="35" t="s">
        <v>3958</v>
      </c>
      <c r="D319" s="35" t="s">
        <v>3959</v>
      </c>
      <c r="E319" s="38" t="s">
        <v>3960</v>
      </c>
      <c r="F319" s="328" t="s">
        <v>3964</v>
      </c>
      <c r="G319" s="35" t="s">
        <v>1185</v>
      </c>
      <c r="H319" s="35" t="s">
        <v>33</v>
      </c>
      <c r="I319" s="35" t="s">
        <v>3965</v>
      </c>
      <c r="J319" s="35" t="s">
        <v>48</v>
      </c>
      <c r="K319" s="35" t="s">
        <v>3966</v>
      </c>
      <c r="L319" s="328" t="s">
        <v>3967</v>
      </c>
      <c r="M319" s="35" t="s">
        <v>83</v>
      </c>
      <c r="O319" s="35" t="s">
        <v>26</v>
      </c>
    </row>
    <row r="320" spans="1:15" ht="13">
      <c r="A320" s="33">
        <v>43928.263978564813</v>
      </c>
      <c r="B320" s="35" t="s">
        <v>6457</v>
      </c>
      <c r="C320" s="35" t="s">
        <v>6458</v>
      </c>
      <c r="D320" s="35" t="s">
        <v>6459</v>
      </c>
      <c r="E320" s="38" t="s">
        <v>6460</v>
      </c>
      <c r="F320" s="35" t="s">
        <v>6464</v>
      </c>
      <c r="G320" s="35" t="s">
        <v>363</v>
      </c>
      <c r="H320" s="35" t="s">
        <v>33</v>
      </c>
      <c r="I320" s="35" t="s">
        <v>6466</v>
      </c>
      <c r="J320" s="35" t="s">
        <v>48</v>
      </c>
      <c r="K320" s="328" t="s">
        <v>6467</v>
      </c>
      <c r="L320" s="328" t="s">
        <v>6468</v>
      </c>
      <c r="M320" s="35" t="s">
        <v>83</v>
      </c>
      <c r="O320" s="35" t="s">
        <v>26</v>
      </c>
    </row>
    <row r="321" spans="1:15" ht="13">
      <c r="A321" s="33">
        <v>43928.276572870367</v>
      </c>
      <c r="B321" s="35" t="s">
        <v>7176</v>
      </c>
      <c r="C321" s="35" t="s">
        <v>7177</v>
      </c>
      <c r="D321" s="35" t="s">
        <v>3229</v>
      </c>
      <c r="E321" s="38" t="s">
        <v>7178</v>
      </c>
      <c r="F321" s="327"/>
      <c r="G321" s="35" t="s">
        <v>7183</v>
      </c>
      <c r="H321" s="35" t="s">
        <v>33</v>
      </c>
      <c r="I321" s="35" t="s">
        <v>7186</v>
      </c>
      <c r="J321" s="35" t="s">
        <v>48</v>
      </c>
      <c r="K321" s="35" t="s">
        <v>7187</v>
      </c>
      <c r="L321" s="328" t="s">
        <v>7188</v>
      </c>
      <c r="M321" s="35" t="s">
        <v>67</v>
      </c>
      <c r="O321" s="35" t="s">
        <v>26</v>
      </c>
    </row>
    <row r="322" spans="1:15" ht="13">
      <c r="A322" s="33">
        <v>43928.281814999995</v>
      </c>
      <c r="B322" s="35" t="s">
        <v>6122</v>
      </c>
      <c r="C322" s="35" t="s">
        <v>6123</v>
      </c>
      <c r="D322" s="35" t="s">
        <v>6124</v>
      </c>
      <c r="E322" s="38" t="s">
        <v>6125</v>
      </c>
      <c r="F322" s="328" t="s">
        <v>6129</v>
      </c>
      <c r="G322" s="35" t="s">
        <v>1381</v>
      </c>
      <c r="H322" s="35" t="s">
        <v>33</v>
      </c>
      <c r="I322" s="35" t="s">
        <v>6130</v>
      </c>
      <c r="J322" s="35" t="s">
        <v>35</v>
      </c>
      <c r="K322" s="328" t="s">
        <v>6131</v>
      </c>
      <c r="M322" s="35" t="s">
        <v>83</v>
      </c>
      <c r="N322" s="328" t="s">
        <v>6132</v>
      </c>
      <c r="O322" s="35" t="s">
        <v>26</v>
      </c>
    </row>
    <row r="323" spans="1:15" ht="13">
      <c r="A323" s="33">
        <v>43928.302333599539</v>
      </c>
      <c r="B323" s="35" t="s">
        <v>2804</v>
      </c>
      <c r="C323" s="35" t="s">
        <v>2805</v>
      </c>
      <c r="D323" s="35" t="s">
        <v>2806</v>
      </c>
      <c r="E323" s="328" t="s">
        <v>2807</v>
      </c>
      <c r="F323" s="35" t="s">
        <v>2808</v>
      </c>
      <c r="G323" s="35" t="s">
        <v>1994</v>
      </c>
      <c r="H323" s="35" t="s">
        <v>33</v>
      </c>
      <c r="I323" s="35" t="s">
        <v>2809</v>
      </c>
      <c r="J323" s="35" t="s">
        <v>35</v>
      </c>
      <c r="K323" s="328" t="s">
        <v>2811</v>
      </c>
      <c r="M323" s="35" t="s">
        <v>83</v>
      </c>
      <c r="N323" s="328" t="s">
        <v>2812</v>
      </c>
      <c r="O323" s="35" t="s">
        <v>26</v>
      </c>
    </row>
    <row r="324" spans="1:15" ht="13">
      <c r="A324" s="33">
        <v>43928.312777222221</v>
      </c>
      <c r="B324" s="35" t="s">
        <v>2804</v>
      </c>
      <c r="C324" s="35" t="s">
        <v>2805</v>
      </c>
      <c r="D324" s="35" t="s">
        <v>2806</v>
      </c>
      <c r="E324" s="328" t="s">
        <v>2807</v>
      </c>
      <c r="F324" s="327"/>
      <c r="G324" s="35" t="s">
        <v>1994</v>
      </c>
      <c r="H324" s="35" t="s">
        <v>33</v>
      </c>
      <c r="I324" s="35" t="s">
        <v>2809</v>
      </c>
      <c r="J324" s="35" t="s">
        <v>35</v>
      </c>
      <c r="K324" s="328" t="s">
        <v>2811</v>
      </c>
      <c r="M324" s="35" t="s">
        <v>83</v>
      </c>
      <c r="N324" s="328" t="s">
        <v>2812</v>
      </c>
      <c r="O324" s="35" t="s">
        <v>26</v>
      </c>
    </row>
    <row r="325" spans="1:15" ht="13">
      <c r="A325" s="33">
        <v>43928.313796944443</v>
      </c>
      <c r="B325" s="35" t="s">
        <v>2804</v>
      </c>
      <c r="C325" s="35" t="s">
        <v>2805</v>
      </c>
      <c r="D325" s="35" t="s">
        <v>2806</v>
      </c>
      <c r="E325" s="328" t="s">
        <v>2807</v>
      </c>
      <c r="F325" s="327"/>
      <c r="G325" s="35" t="s">
        <v>1994</v>
      </c>
      <c r="H325" s="35" t="s">
        <v>33</v>
      </c>
      <c r="I325" s="35" t="s">
        <v>2809</v>
      </c>
      <c r="J325" s="35" t="s">
        <v>35</v>
      </c>
      <c r="K325" s="328" t="s">
        <v>2811</v>
      </c>
      <c r="L325" s="327"/>
      <c r="M325" s="35" t="s">
        <v>83</v>
      </c>
      <c r="N325" s="328" t="s">
        <v>2812</v>
      </c>
      <c r="O325" s="35" t="s">
        <v>26</v>
      </c>
    </row>
    <row r="326" spans="1:15" ht="13">
      <c r="A326" s="33">
        <v>43928.314626712963</v>
      </c>
      <c r="B326" s="35" t="s">
        <v>8456</v>
      </c>
      <c r="C326" s="35" t="s">
        <v>8457</v>
      </c>
      <c r="D326" s="35" t="s">
        <v>7411</v>
      </c>
      <c r="E326" s="38" t="s">
        <v>8458</v>
      </c>
      <c r="F326" s="327"/>
      <c r="G326" s="35" t="s">
        <v>63</v>
      </c>
      <c r="H326" s="35" t="s">
        <v>33</v>
      </c>
      <c r="I326" s="35" t="s">
        <v>8459</v>
      </c>
      <c r="J326" s="35" t="s">
        <v>48</v>
      </c>
      <c r="K326" s="327"/>
      <c r="M326" s="35" t="s">
        <v>67</v>
      </c>
      <c r="O326" s="35" t="s">
        <v>26</v>
      </c>
    </row>
    <row r="327" spans="1:15" ht="13">
      <c r="A327" s="33">
        <v>43928.318549768519</v>
      </c>
      <c r="B327" s="35" t="s">
        <v>7709</v>
      </c>
      <c r="C327" s="35" t="s">
        <v>7710</v>
      </c>
      <c r="D327" s="35" t="s">
        <v>7711</v>
      </c>
      <c r="E327" s="38" t="s">
        <v>7712</v>
      </c>
      <c r="F327" s="327"/>
      <c r="G327" s="35" t="s">
        <v>802</v>
      </c>
      <c r="H327" s="35" t="s">
        <v>33</v>
      </c>
      <c r="I327" s="35" t="s">
        <v>7679</v>
      </c>
      <c r="J327" s="35" t="s">
        <v>48</v>
      </c>
      <c r="K327" s="327"/>
      <c r="L327" s="327"/>
      <c r="M327" s="35" t="s">
        <v>83</v>
      </c>
      <c r="N327" s="328" t="s">
        <v>68</v>
      </c>
      <c r="O327" s="35" t="s">
        <v>26</v>
      </c>
    </row>
    <row r="328" spans="1:15" ht="13">
      <c r="A328" s="33">
        <v>43928.322589351854</v>
      </c>
      <c r="B328" s="35" t="s">
        <v>5210</v>
      </c>
      <c r="C328" s="35" t="s">
        <v>5211</v>
      </c>
      <c r="D328" s="35" t="s">
        <v>5063</v>
      </c>
      <c r="E328" s="38" t="s">
        <v>5212</v>
      </c>
      <c r="F328" s="35" t="s">
        <v>5213</v>
      </c>
      <c r="G328" s="35" t="s">
        <v>5214</v>
      </c>
      <c r="H328" s="35" t="s">
        <v>33</v>
      </c>
      <c r="I328" s="328" t="s">
        <v>5215</v>
      </c>
      <c r="J328" s="328" t="s">
        <v>48</v>
      </c>
      <c r="K328" s="328" t="s">
        <v>5216</v>
      </c>
      <c r="L328" s="328" t="s">
        <v>5217</v>
      </c>
      <c r="M328" s="328" t="s">
        <v>83</v>
      </c>
      <c r="O328" s="35" t="s">
        <v>26</v>
      </c>
    </row>
    <row r="329" spans="1:15" ht="13">
      <c r="A329" s="33">
        <v>43928.325969120371</v>
      </c>
      <c r="B329" s="35" t="s">
        <v>6659</v>
      </c>
      <c r="C329" s="35" t="s">
        <v>6660</v>
      </c>
      <c r="D329" s="35" t="s">
        <v>6661</v>
      </c>
      <c r="E329" s="38" t="s">
        <v>6662</v>
      </c>
      <c r="F329" s="327"/>
      <c r="G329" s="35" t="s">
        <v>1633</v>
      </c>
      <c r="H329" s="35" t="s">
        <v>33</v>
      </c>
      <c r="I329" s="35" t="s">
        <v>6667</v>
      </c>
      <c r="J329" s="35" t="s">
        <v>81</v>
      </c>
      <c r="K329" s="35" t="s">
        <v>6668</v>
      </c>
      <c r="L329" s="327"/>
      <c r="M329" s="35" t="s">
        <v>83</v>
      </c>
      <c r="N329" s="327"/>
      <c r="O329" s="35" t="s">
        <v>26</v>
      </c>
    </row>
    <row r="330" spans="1:15" ht="13" hidden="1">
      <c r="A330" s="33">
        <v>43928.33228386574</v>
      </c>
      <c r="B330" s="35" t="s">
        <v>3101</v>
      </c>
      <c r="C330" s="35" t="s">
        <v>3102</v>
      </c>
      <c r="D330" s="38" t="s">
        <v>3103</v>
      </c>
      <c r="E330" s="38" t="s">
        <v>3105</v>
      </c>
      <c r="F330" s="35" t="s">
        <v>3106</v>
      </c>
      <c r="G330" s="35" t="s">
        <v>3107</v>
      </c>
      <c r="H330" s="35" t="s">
        <v>126</v>
      </c>
      <c r="I330" s="35" t="s">
        <v>3108</v>
      </c>
      <c r="J330" s="35" t="s">
        <v>35</v>
      </c>
      <c r="K330" s="35" t="s">
        <v>987</v>
      </c>
      <c r="L330" s="35" t="s">
        <v>987</v>
      </c>
      <c r="M330" s="35" t="s">
        <v>83</v>
      </c>
      <c r="N330" s="35" t="s">
        <v>3110</v>
      </c>
      <c r="O330" s="35" t="s">
        <v>26</v>
      </c>
    </row>
    <row r="331" spans="1:15" ht="13" hidden="1">
      <c r="A331" s="33">
        <v>43928.364437303244</v>
      </c>
      <c r="B331" s="35" t="s">
        <v>3113</v>
      </c>
      <c r="C331" s="35" t="s">
        <v>3114</v>
      </c>
      <c r="D331" s="35" t="s">
        <v>3115</v>
      </c>
      <c r="E331" s="38" t="s">
        <v>3116</v>
      </c>
      <c r="F331" s="35" t="s">
        <v>3117</v>
      </c>
      <c r="G331" s="35" t="s">
        <v>3118</v>
      </c>
      <c r="H331" s="35" t="s">
        <v>3119</v>
      </c>
      <c r="I331" s="35" t="s">
        <v>3120</v>
      </c>
      <c r="J331" s="35" t="s">
        <v>81</v>
      </c>
      <c r="M331" s="35" t="s">
        <v>83</v>
      </c>
      <c r="N331" s="35" t="s">
        <v>989</v>
      </c>
      <c r="O331" s="35" t="s">
        <v>26</v>
      </c>
    </row>
    <row r="332" spans="1:15" ht="13" hidden="1">
      <c r="A332" s="33">
        <v>43928.366907974538</v>
      </c>
      <c r="B332" s="35" t="s">
        <v>3121</v>
      </c>
      <c r="C332" s="35" t="s">
        <v>3122</v>
      </c>
      <c r="D332" s="35" t="s">
        <v>3123</v>
      </c>
      <c r="E332" s="38" t="s">
        <v>3124</v>
      </c>
      <c r="F332" s="35" t="s">
        <v>3126</v>
      </c>
      <c r="G332" s="35" t="s">
        <v>3127</v>
      </c>
      <c r="H332" s="35" t="s">
        <v>46</v>
      </c>
      <c r="I332" s="35" t="s">
        <v>3128</v>
      </c>
      <c r="J332" s="35" t="s">
        <v>35</v>
      </c>
      <c r="K332" s="35" t="s">
        <v>3129</v>
      </c>
      <c r="L332" s="35" t="s">
        <v>3131</v>
      </c>
      <c r="M332" s="35" t="s">
        <v>83</v>
      </c>
      <c r="O332" s="35" t="s">
        <v>26</v>
      </c>
    </row>
    <row r="333" spans="1:15" ht="13">
      <c r="A333" s="33">
        <v>43928.381095914352</v>
      </c>
      <c r="B333" s="35" t="s">
        <v>9026</v>
      </c>
      <c r="C333" s="35" t="s">
        <v>9027</v>
      </c>
      <c r="D333" s="35" t="s">
        <v>9028</v>
      </c>
      <c r="E333" s="38" t="s">
        <v>9029</v>
      </c>
      <c r="F333" s="327"/>
      <c r="G333" s="35" t="s">
        <v>9030</v>
      </c>
      <c r="H333" s="35" t="s">
        <v>33</v>
      </c>
      <c r="I333" s="35" t="s">
        <v>8877</v>
      </c>
      <c r="J333" s="35" t="s">
        <v>35</v>
      </c>
      <c r="K333" s="328" t="s">
        <v>9031</v>
      </c>
      <c r="L333" s="328" t="s">
        <v>9032</v>
      </c>
      <c r="M333" s="35" t="s">
        <v>83</v>
      </c>
      <c r="O333" s="35" t="s">
        <v>26</v>
      </c>
    </row>
    <row r="334" spans="1:15" ht="13" hidden="1">
      <c r="A334" s="33">
        <v>43928.41868383102</v>
      </c>
      <c r="B334" s="35" t="s">
        <v>3139</v>
      </c>
      <c r="C334" s="35" t="s">
        <v>3140</v>
      </c>
      <c r="D334" s="35" t="s">
        <v>982</v>
      </c>
      <c r="E334" s="38" t="s">
        <v>3141</v>
      </c>
      <c r="F334" s="35" t="s">
        <v>3143</v>
      </c>
      <c r="G334" s="35" t="s">
        <v>3145</v>
      </c>
      <c r="H334" s="35" t="s">
        <v>46</v>
      </c>
      <c r="I334" s="35" t="s">
        <v>3146</v>
      </c>
      <c r="J334" s="35" t="s">
        <v>104</v>
      </c>
      <c r="K334" s="35" t="s">
        <v>3148</v>
      </c>
      <c r="L334" s="35" t="s">
        <v>3150</v>
      </c>
      <c r="M334" s="35" t="s">
        <v>83</v>
      </c>
      <c r="N334" s="35" t="s">
        <v>3152</v>
      </c>
      <c r="O334" s="35" t="s">
        <v>26</v>
      </c>
    </row>
    <row r="335" spans="1:15" ht="13">
      <c r="A335" s="33">
        <v>43928.426413344903</v>
      </c>
      <c r="B335" s="35" t="s">
        <v>2094</v>
      </c>
      <c r="C335" s="35" t="s">
        <v>2095</v>
      </c>
      <c r="D335" s="35" t="s">
        <v>2096</v>
      </c>
      <c r="E335" s="38" t="s">
        <v>2097</v>
      </c>
      <c r="F335" s="328" t="s">
        <v>2098</v>
      </c>
      <c r="G335" s="35" t="s">
        <v>1823</v>
      </c>
      <c r="H335" s="35" t="s">
        <v>33</v>
      </c>
      <c r="I335" s="35" t="s">
        <v>1153</v>
      </c>
      <c r="J335" s="35" t="s">
        <v>104</v>
      </c>
      <c r="K335" s="328" t="s">
        <v>2099</v>
      </c>
      <c r="L335" s="328" t="s">
        <v>2100</v>
      </c>
      <c r="M335" s="35" t="s">
        <v>83</v>
      </c>
      <c r="O335" s="35" t="s">
        <v>26</v>
      </c>
    </row>
    <row r="336" spans="1:15" ht="13">
      <c r="A336" s="33">
        <v>43928.428167071761</v>
      </c>
      <c r="B336" s="35" t="s">
        <v>8862</v>
      </c>
      <c r="C336" s="35" t="s">
        <v>8863</v>
      </c>
      <c r="D336" s="35" t="s">
        <v>8864</v>
      </c>
      <c r="E336" s="38" t="s">
        <v>8865</v>
      </c>
      <c r="F336" s="327"/>
      <c r="G336" s="35" t="s">
        <v>394</v>
      </c>
      <c r="H336" s="35" t="s">
        <v>33</v>
      </c>
      <c r="I336" s="35" t="s">
        <v>8319</v>
      </c>
      <c r="J336" s="35" t="s">
        <v>48</v>
      </c>
      <c r="K336" s="328" t="s">
        <v>8866</v>
      </c>
      <c r="L336" s="328" t="s">
        <v>8867</v>
      </c>
      <c r="M336" s="35" t="s">
        <v>83</v>
      </c>
      <c r="N336" s="327"/>
      <c r="O336" s="35" t="s">
        <v>26</v>
      </c>
    </row>
    <row r="337" spans="1:15" ht="13" hidden="1">
      <c r="A337" s="33">
        <v>43928.453366886577</v>
      </c>
      <c r="B337" s="35" t="s">
        <v>3164</v>
      </c>
      <c r="C337" s="35" t="s">
        <v>3165</v>
      </c>
      <c r="D337" s="35" t="s">
        <v>3166</v>
      </c>
      <c r="E337" s="38" t="s">
        <v>3167</v>
      </c>
      <c r="F337" s="35" t="s">
        <v>3171</v>
      </c>
      <c r="G337" s="35" t="s">
        <v>63</v>
      </c>
      <c r="H337" s="35" t="s">
        <v>46</v>
      </c>
      <c r="I337" s="35" t="s">
        <v>425</v>
      </c>
      <c r="J337" s="35" t="s">
        <v>35</v>
      </c>
      <c r="K337" s="35" t="s">
        <v>3174</v>
      </c>
      <c r="L337" s="35" t="s">
        <v>3175</v>
      </c>
      <c r="M337" s="35" t="s">
        <v>67</v>
      </c>
      <c r="O337" s="35" t="s">
        <v>26</v>
      </c>
    </row>
    <row r="338" spans="1:15" ht="13">
      <c r="A338" s="33">
        <v>43928.481665752319</v>
      </c>
      <c r="B338" s="35" t="s">
        <v>7457</v>
      </c>
      <c r="C338" s="35" t="s">
        <v>7458</v>
      </c>
      <c r="D338" s="35" t="s">
        <v>7460</v>
      </c>
      <c r="E338" s="38" t="s">
        <v>7461</v>
      </c>
      <c r="F338" s="327"/>
      <c r="G338" s="35" t="s">
        <v>394</v>
      </c>
      <c r="H338" s="35" t="s">
        <v>33</v>
      </c>
      <c r="I338" s="35" t="s">
        <v>3551</v>
      </c>
      <c r="J338" s="35" t="s">
        <v>48</v>
      </c>
      <c r="K338" s="328" t="s">
        <v>7468</v>
      </c>
      <c r="L338" s="328" t="s">
        <v>7469</v>
      </c>
      <c r="M338" s="35" t="s">
        <v>67</v>
      </c>
      <c r="O338" s="35" t="s">
        <v>26</v>
      </c>
    </row>
    <row r="339" spans="1:15" ht="13" hidden="1">
      <c r="A339" s="33">
        <v>43928.576808842598</v>
      </c>
      <c r="B339" s="35" t="s">
        <v>3183</v>
      </c>
      <c r="C339" s="35" t="s">
        <v>3184</v>
      </c>
      <c r="D339" s="35" t="s">
        <v>3185</v>
      </c>
      <c r="E339" s="38" t="s">
        <v>3186</v>
      </c>
      <c r="F339" s="35" t="s">
        <v>3188</v>
      </c>
      <c r="G339" s="35" t="s">
        <v>32</v>
      </c>
      <c r="H339" s="35" t="s">
        <v>126</v>
      </c>
      <c r="I339" s="35" t="s">
        <v>425</v>
      </c>
      <c r="J339" s="35" t="s">
        <v>48</v>
      </c>
      <c r="M339" s="35" t="s">
        <v>83</v>
      </c>
      <c r="N339" s="35" t="s">
        <v>3189</v>
      </c>
      <c r="O339" s="35" t="s">
        <v>26</v>
      </c>
    </row>
    <row r="340" spans="1:15" ht="13">
      <c r="A340" s="33">
        <v>43928.633481921293</v>
      </c>
      <c r="B340" s="35" t="s">
        <v>5401</v>
      </c>
      <c r="C340" s="35" t="s">
        <v>5402</v>
      </c>
      <c r="D340" s="35" t="s">
        <v>5063</v>
      </c>
      <c r="E340" s="38" t="s">
        <v>5404</v>
      </c>
      <c r="F340" s="328" t="s">
        <v>5406</v>
      </c>
      <c r="G340" s="35" t="s">
        <v>394</v>
      </c>
      <c r="H340" s="35" t="s">
        <v>33</v>
      </c>
      <c r="I340" s="35" t="s">
        <v>5407</v>
      </c>
      <c r="J340" s="35" t="s">
        <v>48</v>
      </c>
      <c r="K340" s="35" t="s">
        <v>5408</v>
      </c>
      <c r="L340" s="328" t="s">
        <v>5409</v>
      </c>
      <c r="M340" s="35" t="s">
        <v>83</v>
      </c>
      <c r="N340" s="328" t="s">
        <v>5410</v>
      </c>
      <c r="O340" s="35" t="s">
        <v>26</v>
      </c>
    </row>
    <row r="341" spans="1:15" ht="14">
      <c r="A341" s="33">
        <v>43928.701338125</v>
      </c>
      <c r="B341" s="313" t="s">
        <v>9254</v>
      </c>
      <c r="C341" s="308" t="s">
        <v>9255</v>
      </c>
      <c r="D341" s="313" t="s">
        <v>87</v>
      </c>
      <c r="E341" s="312" t="s">
        <v>9256</v>
      </c>
      <c r="F341" s="313"/>
      <c r="G341" s="313" t="s">
        <v>32</v>
      </c>
      <c r="H341" s="313" t="s">
        <v>33</v>
      </c>
      <c r="I341" s="313" t="s">
        <v>2959</v>
      </c>
      <c r="J341" s="313"/>
      <c r="K341" s="313"/>
      <c r="L341" s="313"/>
      <c r="M341" s="313"/>
      <c r="N341" s="313"/>
      <c r="O341" s="35" t="s">
        <v>26</v>
      </c>
    </row>
    <row r="342" spans="1:15" ht="13">
      <c r="A342" s="33">
        <v>43928.753497013888</v>
      </c>
      <c r="B342" s="35" t="s">
        <v>5042</v>
      </c>
      <c r="C342" s="35" t="s">
        <v>5043</v>
      </c>
      <c r="D342" s="35" t="s">
        <v>5044</v>
      </c>
      <c r="E342" s="38" t="s">
        <v>5045</v>
      </c>
      <c r="F342" s="35" t="s">
        <v>5049</v>
      </c>
      <c r="G342" s="35" t="s">
        <v>32</v>
      </c>
      <c r="H342" s="35" t="s">
        <v>33</v>
      </c>
      <c r="I342" s="35" t="s">
        <v>5050</v>
      </c>
      <c r="J342" s="35" t="s">
        <v>35</v>
      </c>
      <c r="K342" s="327"/>
      <c r="M342" s="35" t="s">
        <v>83</v>
      </c>
      <c r="O342" s="35" t="s">
        <v>26</v>
      </c>
    </row>
    <row r="343" spans="1:15" ht="13" hidden="1">
      <c r="A343" s="33">
        <v>43928.789105694443</v>
      </c>
      <c r="B343" s="35" t="s">
        <v>3219</v>
      </c>
      <c r="C343" s="35" t="s">
        <v>3221</v>
      </c>
      <c r="D343" s="35" t="s">
        <v>3222</v>
      </c>
      <c r="E343" s="38" t="s">
        <v>3223</v>
      </c>
      <c r="F343" s="35" t="s">
        <v>3224</v>
      </c>
      <c r="G343" s="35" t="s">
        <v>3225</v>
      </c>
      <c r="H343" s="35" t="s">
        <v>46</v>
      </c>
      <c r="I343" s="35" t="s">
        <v>3226</v>
      </c>
      <c r="J343" s="35" t="s">
        <v>104</v>
      </c>
      <c r="M343" s="35" t="s">
        <v>83</v>
      </c>
      <c r="N343" s="35" t="s">
        <v>304</v>
      </c>
      <c r="O343" s="35" t="s">
        <v>26</v>
      </c>
    </row>
    <row r="344" spans="1:15" ht="13">
      <c r="A344" s="33">
        <v>43928.846106342593</v>
      </c>
      <c r="B344" s="328" t="s">
        <v>6149</v>
      </c>
      <c r="C344" s="328" t="s">
        <v>6150</v>
      </c>
      <c r="D344" s="38" t="s">
        <v>2277</v>
      </c>
      <c r="E344" s="38" t="s">
        <v>6151</v>
      </c>
      <c r="F344" s="328" t="s">
        <v>6153</v>
      </c>
      <c r="G344" s="328" t="s">
        <v>32</v>
      </c>
      <c r="H344" s="328" t="s">
        <v>33</v>
      </c>
      <c r="I344" s="328" t="s">
        <v>6154</v>
      </c>
      <c r="J344" s="328" t="s">
        <v>48</v>
      </c>
      <c r="K344" s="328" t="s">
        <v>6156</v>
      </c>
      <c r="L344" s="328" t="s">
        <v>6157</v>
      </c>
      <c r="M344" s="328" t="s">
        <v>83</v>
      </c>
      <c r="N344" s="327"/>
      <c r="O344" s="35" t="s">
        <v>26</v>
      </c>
    </row>
    <row r="345" spans="1:15" ht="13">
      <c r="A345" s="33">
        <v>43928.884152372688</v>
      </c>
      <c r="B345" s="35" t="s">
        <v>8034</v>
      </c>
      <c r="C345" s="35" t="s">
        <v>6150</v>
      </c>
      <c r="D345" s="35" t="s">
        <v>1566</v>
      </c>
      <c r="E345" s="38" t="s">
        <v>8035</v>
      </c>
      <c r="F345" s="327"/>
      <c r="G345" s="35" t="s">
        <v>32</v>
      </c>
      <c r="H345" s="35" t="s">
        <v>33</v>
      </c>
      <c r="I345" s="35" t="s">
        <v>8037</v>
      </c>
      <c r="J345" s="35" t="s">
        <v>48</v>
      </c>
      <c r="K345" s="328" t="s">
        <v>8038</v>
      </c>
      <c r="L345" s="328" t="s">
        <v>8039</v>
      </c>
      <c r="M345" s="35" t="s">
        <v>83</v>
      </c>
      <c r="O345" s="35" t="s">
        <v>26</v>
      </c>
    </row>
    <row r="346" spans="1:15" ht="13" hidden="1">
      <c r="A346" s="33">
        <v>43928.884869965274</v>
      </c>
      <c r="B346" s="35" t="s">
        <v>3247</v>
      </c>
      <c r="C346" s="35" t="s">
        <v>3248</v>
      </c>
      <c r="D346" s="35" t="s">
        <v>1153</v>
      </c>
      <c r="E346" s="38" t="s">
        <v>3249</v>
      </c>
      <c r="F346" s="35" t="s">
        <v>3250</v>
      </c>
      <c r="G346" s="35" t="s">
        <v>931</v>
      </c>
      <c r="H346" s="35" t="s">
        <v>46</v>
      </c>
      <c r="I346" s="35" t="s">
        <v>3251</v>
      </c>
      <c r="J346" s="35" t="s">
        <v>35</v>
      </c>
      <c r="K346" s="35" t="s">
        <v>3252</v>
      </c>
      <c r="M346" s="35" t="s">
        <v>67</v>
      </c>
      <c r="N346" s="35" t="s">
        <v>68</v>
      </c>
      <c r="O346" s="35" t="s">
        <v>26</v>
      </c>
    </row>
    <row r="347" spans="1:15" ht="13" hidden="1">
      <c r="A347" s="33">
        <v>43928.895679803245</v>
      </c>
      <c r="B347" s="35" t="s">
        <v>3253</v>
      </c>
      <c r="C347" s="35" t="s">
        <v>3254</v>
      </c>
      <c r="D347" s="35" t="s">
        <v>3255</v>
      </c>
      <c r="E347" s="38" t="s">
        <v>3256</v>
      </c>
      <c r="F347" s="35" t="s">
        <v>3258</v>
      </c>
      <c r="G347" s="35" t="s">
        <v>3259</v>
      </c>
      <c r="H347" s="35" t="s">
        <v>506</v>
      </c>
      <c r="I347" s="35" t="s">
        <v>15</v>
      </c>
      <c r="J347" s="35" t="s">
        <v>48</v>
      </c>
      <c r="K347" s="35" t="s">
        <v>3260</v>
      </c>
      <c r="M347" s="35" t="s">
        <v>67</v>
      </c>
      <c r="O347" s="35" t="s">
        <v>26</v>
      </c>
    </row>
    <row r="348" spans="1:15" ht="13">
      <c r="A348" s="33">
        <v>43928.903069097221</v>
      </c>
      <c r="B348" s="35" t="s">
        <v>6323</v>
      </c>
      <c r="C348" s="35" t="s">
        <v>6324</v>
      </c>
      <c r="D348" s="35" t="s">
        <v>6325</v>
      </c>
      <c r="E348" s="38" t="s">
        <v>6327</v>
      </c>
      <c r="F348" s="35" t="s">
        <v>6329</v>
      </c>
      <c r="G348" s="35" t="s">
        <v>32</v>
      </c>
      <c r="H348" s="35" t="s">
        <v>33</v>
      </c>
      <c r="I348" s="328" t="s">
        <v>6330</v>
      </c>
      <c r="J348" s="35" t="s">
        <v>48</v>
      </c>
      <c r="K348" s="327"/>
      <c r="L348" s="327"/>
      <c r="M348" s="35" t="s">
        <v>83</v>
      </c>
      <c r="N348" s="327"/>
      <c r="O348" s="35" t="s">
        <v>26</v>
      </c>
    </row>
    <row r="349" spans="1:15" ht="14">
      <c r="A349" s="33">
        <v>43928.908295335648</v>
      </c>
      <c r="B349" s="313" t="s">
        <v>9246</v>
      </c>
      <c r="C349" s="308" t="s">
        <v>9247</v>
      </c>
      <c r="D349" s="313" t="s">
        <v>87</v>
      </c>
      <c r="E349" s="312" t="s">
        <v>9248</v>
      </c>
      <c r="F349" s="313"/>
      <c r="G349" s="313" t="s">
        <v>32</v>
      </c>
      <c r="H349" s="313" t="s">
        <v>33</v>
      </c>
      <c r="I349" s="313" t="s">
        <v>2959</v>
      </c>
      <c r="J349" s="313"/>
      <c r="K349" s="313"/>
      <c r="L349" s="313"/>
      <c r="M349" s="313"/>
      <c r="N349" s="313"/>
      <c r="O349" s="35" t="s">
        <v>26</v>
      </c>
    </row>
    <row r="350" spans="1:15" ht="13">
      <c r="A350" s="33">
        <v>43928.928259803244</v>
      </c>
      <c r="B350" s="35" t="s">
        <v>5717</v>
      </c>
      <c r="C350" s="35" t="s">
        <v>5718</v>
      </c>
      <c r="D350" s="35" t="s">
        <v>5677</v>
      </c>
      <c r="E350" s="38" t="s">
        <v>5719</v>
      </c>
      <c r="F350" s="35" t="s">
        <v>5723</v>
      </c>
      <c r="G350" s="35" t="s">
        <v>63</v>
      </c>
      <c r="H350" s="35" t="s">
        <v>33</v>
      </c>
      <c r="I350" s="35" t="s">
        <v>5724</v>
      </c>
      <c r="J350" s="35" t="s">
        <v>48</v>
      </c>
      <c r="K350" s="327"/>
      <c r="L350" s="327"/>
      <c r="M350" s="35" t="s">
        <v>83</v>
      </c>
      <c r="O350" s="35" t="s">
        <v>26</v>
      </c>
    </row>
    <row r="351" spans="1:15" ht="13">
      <c r="A351" s="33">
        <v>43928.939181932874</v>
      </c>
      <c r="B351" s="35" t="s">
        <v>8997</v>
      </c>
      <c r="C351" s="35" t="s">
        <v>8998</v>
      </c>
      <c r="D351" s="35" t="s">
        <v>8999</v>
      </c>
      <c r="E351" s="38" t="s">
        <v>9000</v>
      </c>
      <c r="F351" s="327"/>
      <c r="G351" s="35" t="s">
        <v>322</v>
      </c>
      <c r="H351" s="35" t="s">
        <v>33</v>
      </c>
      <c r="I351" s="35" t="s">
        <v>9001</v>
      </c>
      <c r="J351" s="35" t="s">
        <v>81</v>
      </c>
      <c r="K351" s="327"/>
      <c r="M351" s="35" t="s">
        <v>83</v>
      </c>
      <c r="O351" s="35" t="s">
        <v>26</v>
      </c>
    </row>
    <row r="352" spans="1:15" ht="13">
      <c r="A352" s="33">
        <v>43928.949942939813</v>
      </c>
      <c r="B352" s="35" t="s">
        <v>1818</v>
      </c>
      <c r="C352" s="35" t="s">
        <v>1819</v>
      </c>
      <c r="D352" s="35" t="s">
        <v>1820</v>
      </c>
      <c r="E352" s="38" t="s">
        <v>1821</v>
      </c>
      <c r="F352" s="328" t="s">
        <v>1822</v>
      </c>
      <c r="G352" s="35" t="s">
        <v>1823</v>
      </c>
      <c r="H352" s="35" t="s">
        <v>33</v>
      </c>
      <c r="I352" s="35" t="s">
        <v>1824</v>
      </c>
      <c r="J352" s="35" t="s">
        <v>48</v>
      </c>
      <c r="K352" s="328" t="s">
        <v>1825</v>
      </c>
      <c r="L352" s="328" t="s">
        <v>1826</v>
      </c>
      <c r="M352" s="35" t="s">
        <v>83</v>
      </c>
      <c r="N352" s="328" t="s">
        <v>1827</v>
      </c>
      <c r="O352" s="35" t="s">
        <v>26</v>
      </c>
    </row>
    <row r="353" spans="1:15" ht="13" hidden="1">
      <c r="A353" s="33">
        <v>43928.952637962968</v>
      </c>
      <c r="B353" s="35" t="s">
        <v>3308</v>
      </c>
      <c r="C353" s="35" t="s">
        <v>3309</v>
      </c>
      <c r="D353" s="35" t="s">
        <v>3310</v>
      </c>
      <c r="E353" s="38" t="s">
        <v>3311</v>
      </c>
      <c r="F353" s="35" t="s">
        <v>3316</v>
      </c>
      <c r="G353" s="35" t="s">
        <v>2655</v>
      </c>
      <c r="H353" s="35" t="s">
        <v>506</v>
      </c>
      <c r="I353" s="35" t="s">
        <v>3317</v>
      </c>
      <c r="J353" s="35" t="s">
        <v>35</v>
      </c>
      <c r="K353" s="35" t="s">
        <v>3318</v>
      </c>
      <c r="L353" s="35" t="s">
        <v>3319</v>
      </c>
      <c r="M353" s="35" t="s">
        <v>83</v>
      </c>
      <c r="O353" s="35" t="s">
        <v>26</v>
      </c>
    </row>
    <row r="354" spans="1:15" ht="13" hidden="1">
      <c r="A354" s="33">
        <v>43928.969081701391</v>
      </c>
      <c r="B354" s="35" t="s">
        <v>3320</v>
      </c>
      <c r="C354" s="35" t="s">
        <v>3321</v>
      </c>
      <c r="D354" s="35" t="s">
        <v>1640</v>
      </c>
      <c r="E354" s="38" t="s">
        <v>3322</v>
      </c>
      <c r="F354" s="35" t="s">
        <v>3323</v>
      </c>
      <c r="G354" s="35" t="s">
        <v>519</v>
      </c>
      <c r="H354" s="35" t="s">
        <v>46</v>
      </c>
      <c r="I354" s="35" t="s">
        <v>3324</v>
      </c>
      <c r="J354" s="35" t="s">
        <v>104</v>
      </c>
      <c r="M354" s="35" t="s">
        <v>83</v>
      </c>
      <c r="N354" s="35" t="s">
        <v>3325</v>
      </c>
      <c r="O354" s="35" t="s">
        <v>26</v>
      </c>
    </row>
    <row r="355" spans="1:15" ht="13" hidden="1">
      <c r="A355" s="33">
        <v>43928.973194062499</v>
      </c>
      <c r="B355" s="35" t="s">
        <v>3326</v>
      </c>
      <c r="C355" s="35" t="s">
        <v>3327</v>
      </c>
      <c r="D355" s="35" t="s">
        <v>3328</v>
      </c>
      <c r="E355" s="38" t="s">
        <v>3329</v>
      </c>
      <c r="F355" s="35" t="s">
        <v>3333</v>
      </c>
      <c r="G355" s="35" t="s">
        <v>2429</v>
      </c>
      <c r="H355" s="35" t="s">
        <v>46</v>
      </c>
      <c r="I355" s="35" t="s">
        <v>3335</v>
      </c>
      <c r="J355" s="35" t="s">
        <v>35</v>
      </c>
      <c r="K355" s="35" t="s">
        <v>3336</v>
      </c>
      <c r="L355" s="35" t="s">
        <v>3337</v>
      </c>
      <c r="M355" s="35" t="s">
        <v>67</v>
      </c>
      <c r="N355" s="35" t="s">
        <v>3338</v>
      </c>
      <c r="O355" s="35" t="s">
        <v>26</v>
      </c>
    </row>
    <row r="356" spans="1:15" ht="13" hidden="1">
      <c r="A356" s="33">
        <v>43928.974409803239</v>
      </c>
      <c r="B356" s="35" t="s">
        <v>3339</v>
      </c>
      <c r="C356" s="35" t="s">
        <v>3340</v>
      </c>
      <c r="D356" s="35" t="s">
        <v>3341</v>
      </c>
      <c r="E356" s="38" t="s">
        <v>3342</v>
      </c>
      <c r="F356" s="35" t="s">
        <v>3343</v>
      </c>
      <c r="G356" s="35" t="s">
        <v>931</v>
      </c>
      <c r="H356" s="35" t="s">
        <v>46</v>
      </c>
      <c r="I356" s="35" t="s">
        <v>255</v>
      </c>
      <c r="J356" s="35" t="s">
        <v>81</v>
      </c>
      <c r="K356" s="35" t="s">
        <v>3344</v>
      </c>
      <c r="L356" s="35" t="s">
        <v>3345</v>
      </c>
      <c r="M356" s="35" t="s">
        <v>83</v>
      </c>
      <c r="N356" s="35" t="s">
        <v>255</v>
      </c>
      <c r="O356" s="35" t="s">
        <v>26</v>
      </c>
    </row>
    <row r="357" spans="1:15" ht="13" hidden="1">
      <c r="A357" s="33">
        <v>43928.98359074074</v>
      </c>
      <c r="B357" s="35" t="s">
        <v>3347</v>
      </c>
      <c r="C357" s="35" t="s">
        <v>2282</v>
      </c>
      <c r="D357" s="35" t="s">
        <v>3348</v>
      </c>
      <c r="E357" s="38" t="s">
        <v>3350</v>
      </c>
      <c r="F357" s="35" t="s">
        <v>3353</v>
      </c>
      <c r="G357" s="35" t="s">
        <v>505</v>
      </c>
      <c r="H357" s="35" t="s">
        <v>46</v>
      </c>
      <c r="I357" s="35" t="s">
        <v>3354</v>
      </c>
      <c r="J357" s="35" t="s">
        <v>81</v>
      </c>
      <c r="K357" s="35" t="s">
        <v>3355</v>
      </c>
      <c r="M357" s="35" t="s">
        <v>67</v>
      </c>
      <c r="N357" s="35" t="s">
        <v>304</v>
      </c>
      <c r="O357" s="35" t="s">
        <v>26</v>
      </c>
    </row>
    <row r="358" spans="1:15" ht="13">
      <c r="A358" s="33">
        <v>43928.989918113424</v>
      </c>
      <c r="B358" s="35" t="s">
        <v>4891</v>
      </c>
      <c r="C358" s="328" t="s">
        <v>4892</v>
      </c>
      <c r="D358" s="328" t="s">
        <v>4893</v>
      </c>
      <c r="E358" s="38" t="s">
        <v>4894</v>
      </c>
      <c r="F358" s="328" t="s">
        <v>4896</v>
      </c>
      <c r="G358" s="328" t="s">
        <v>4897</v>
      </c>
      <c r="H358" s="328" t="s">
        <v>33</v>
      </c>
      <c r="I358" s="328" t="s">
        <v>4898</v>
      </c>
      <c r="J358" s="328" t="s">
        <v>81</v>
      </c>
      <c r="K358" s="328" t="s">
        <v>4899</v>
      </c>
      <c r="M358" s="328" t="s">
        <v>83</v>
      </c>
      <c r="N358" s="327"/>
      <c r="O358" s="35" t="s">
        <v>26</v>
      </c>
    </row>
    <row r="359" spans="1:15" ht="13" hidden="1">
      <c r="A359" s="33">
        <v>43928.995698946761</v>
      </c>
      <c r="B359" s="35" t="s">
        <v>3362</v>
      </c>
      <c r="C359" s="35" t="s">
        <v>3254</v>
      </c>
      <c r="D359" s="35" t="s">
        <v>3363</v>
      </c>
      <c r="E359" s="38" t="s">
        <v>3364</v>
      </c>
      <c r="F359" s="35" t="s">
        <v>3365</v>
      </c>
      <c r="G359" s="35" t="s">
        <v>63</v>
      </c>
      <c r="H359" s="35" t="s">
        <v>46</v>
      </c>
      <c r="I359" s="35" t="s">
        <v>425</v>
      </c>
      <c r="J359" s="35" t="s">
        <v>48</v>
      </c>
      <c r="M359" s="35" t="s">
        <v>67</v>
      </c>
      <c r="O359" s="35" t="s">
        <v>26</v>
      </c>
    </row>
    <row r="360" spans="1:15" ht="13">
      <c r="A360" s="33">
        <v>43929.005279398145</v>
      </c>
      <c r="B360" s="35" t="s">
        <v>5089</v>
      </c>
      <c r="C360" s="328" t="s">
        <v>5090</v>
      </c>
      <c r="D360" s="328" t="s">
        <v>5063</v>
      </c>
      <c r="E360" s="38" t="s">
        <v>5092</v>
      </c>
      <c r="F360" s="328" t="s">
        <v>5094</v>
      </c>
      <c r="G360" s="328" t="s">
        <v>278</v>
      </c>
      <c r="H360" s="328" t="s">
        <v>33</v>
      </c>
      <c r="I360" s="328" t="s">
        <v>15</v>
      </c>
      <c r="J360" s="328" t="s">
        <v>48</v>
      </c>
      <c r="K360" s="328" t="s">
        <v>5095</v>
      </c>
      <c r="M360" s="328" t="s">
        <v>83</v>
      </c>
      <c r="N360" s="328" t="s">
        <v>4422</v>
      </c>
      <c r="O360" s="35" t="s">
        <v>26</v>
      </c>
    </row>
    <row r="361" spans="1:15" ht="13" hidden="1">
      <c r="A361" s="33">
        <v>43929.024718877314</v>
      </c>
      <c r="B361" s="35" t="s">
        <v>3375</v>
      </c>
      <c r="C361" s="35" t="s">
        <v>3376</v>
      </c>
      <c r="D361" s="35" t="s">
        <v>1240</v>
      </c>
      <c r="E361" s="38" t="s">
        <v>3377</v>
      </c>
      <c r="F361" s="35" t="s">
        <v>3378</v>
      </c>
      <c r="G361" s="35" t="s">
        <v>1185</v>
      </c>
      <c r="H361" s="35" t="s">
        <v>46</v>
      </c>
      <c r="I361" s="35" t="s">
        <v>1240</v>
      </c>
      <c r="J361" s="35" t="s">
        <v>48</v>
      </c>
      <c r="K361" s="35" t="s">
        <v>1406</v>
      </c>
      <c r="L361" s="35" t="s">
        <v>3379</v>
      </c>
      <c r="M361" s="35" t="s">
        <v>67</v>
      </c>
      <c r="N361" s="35" t="s">
        <v>68</v>
      </c>
      <c r="O361" s="35" t="s">
        <v>26</v>
      </c>
    </row>
    <row r="362" spans="1:15" ht="13">
      <c r="A362" s="33">
        <v>43929.027584432872</v>
      </c>
      <c r="B362" s="35" t="s">
        <v>7943</v>
      </c>
      <c r="C362" s="35" t="s">
        <v>7944</v>
      </c>
      <c r="D362" s="35" t="s">
        <v>7143</v>
      </c>
      <c r="E362" s="38" t="s">
        <v>7945</v>
      </c>
      <c r="F362" s="327"/>
      <c r="G362" s="35" t="s">
        <v>7948</v>
      </c>
      <c r="H362" s="35" t="s">
        <v>33</v>
      </c>
      <c r="I362" s="35" t="s">
        <v>7949</v>
      </c>
      <c r="J362" s="35" t="s">
        <v>81</v>
      </c>
      <c r="K362" s="327"/>
      <c r="L362" s="327"/>
      <c r="M362" s="35" t="s">
        <v>67</v>
      </c>
      <c r="N362" s="327"/>
      <c r="O362" s="35" t="s">
        <v>26</v>
      </c>
    </row>
    <row r="363" spans="1:15" ht="13" hidden="1">
      <c r="A363" s="33">
        <v>43929.027980439816</v>
      </c>
      <c r="B363" s="35" t="s">
        <v>3392</v>
      </c>
      <c r="C363" s="35" t="s">
        <v>3393</v>
      </c>
      <c r="D363" s="35" t="s">
        <v>3394</v>
      </c>
      <c r="E363" s="38" t="s">
        <v>3395</v>
      </c>
      <c r="F363" s="35" t="s">
        <v>3397</v>
      </c>
      <c r="G363" s="35" t="s">
        <v>709</v>
      </c>
      <c r="H363" s="35" t="s">
        <v>3398</v>
      </c>
      <c r="I363" s="35" t="s">
        <v>3399</v>
      </c>
      <c r="J363" s="35" t="s">
        <v>48</v>
      </c>
      <c r="K363" s="35" t="s">
        <v>3400</v>
      </c>
      <c r="M363" s="35" t="s">
        <v>67</v>
      </c>
      <c r="N363" s="35" t="s">
        <v>3402</v>
      </c>
      <c r="O363" s="35" t="s">
        <v>26</v>
      </c>
    </row>
    <row r="364" spans="1:15" ht="13" hidden="1">
      <c r="A364" s="33">
        <v>43929.033590231484</v>
      </c>
      <c r="B364" s="35" t="s">
        <v>3403</v>
      </c>
      <c r="C364" s="35" t="s">
        <v>40</v>
      </c>
      <c r="D364" s="35" t="s">
        <v>3404</v>
      </c>
      <c r="E364" s="38" t="s">
        <v>3405</v>
      </c>
      <c r="F364" s="35" t="s">
        <v>3407</v>
      </c>
      <c r="G364" s="35" t="s">
        <v>363</v>
      </c>
      <c r="H364" s="35" t="s">
        <v>46</v>
      </c>
      <c r="I364" s="35" t="s">
        <v>3408</v>
      </c>
      <c r="J364" s="35" t="s">
        <v>48</v>
      </c>
      <c r="M364" s="35" t="s">
        <v>67</v>
      </c>
      <c r="N364" s="35" t="s">
        <v>68</v>
      </c>
      <c r="O364" s="35" t="s">
        <v>26</v>
      </c>
    </row>
    <row r="365" spans="1:15" ht="13">
      <c r="A365" s="33">
        <v>43929.046702152773</v>
      </c>
      <c r="B365" s="35" t="s">
        <v>959</v>
      </c>
      <c r="C365" s="35" t="s">
        <v>961</v>
      </c>
      <c r="D365" s="328" t="s">
        <v>962</v>
      </c>
      <c r="E365" s="38" t="s">
        <v>964</v>
      </c>
      <c r="F365" s="328" t="s">
        <v>968</v>
      </c>
      <c r="G365" s="35" t="s">
        <v>969</v>
      </c>
      <c r="H365" s="35" t="s">
        <v>33</v>
      </c>
      <c r="I365" s="35" t="s">
        <v>970</v>
      </c>
      <c r="J365" s="35" t="s">
        <v>81</v>
      </c>
      <c r="K365" s="327"/>
      <c r="L365" s="327"/>
      <c r="M365" s="35" t="s">
        <v>83</v>
      </c>
      <c r="N365" s="327"/>
      <c r="O365" s="35" t="s">
        <v>26</v>
      </c>
    </row>
    <row r="366" spans="1:15" ht="13">
      <c r="A366" s="33">
        <v>43929.049503773145</v>
      </c>
      <c r="B366" s="35" t="s">
        <v>5114</v>
      </c>
      <c r="C366" s="35" t="s">
        <v>5115</v>
      </c>
      <c r="D366" s="35" t="s">
        <v>5116</v>
      </c>
      <c r="E366" s="38" t="s">
        <v>5117</v>
      </c>
      <c r="F366" s="35" t="s">
        <v>5118</v>
      </c>
      <c r="G366" s="35" t="s">
        <v>1986</v>
      </c>
      <c r="H366" s="35" t="s">
        <v>33</v>
      </c>
      <c r="I366" s="35" t="s">
        <v>5119</v>
      </c>
      <c r="J366" s="35" t="s">
        <v>35</v>
      </c>
      <c r="K366" s="328" t="s">
        <v>5120</v>
      </c>
      <c r="M366" s="35" t="s">
        <v>83</v>
      </c>
      <c r="O366" s="35" t="s">
        <v>26</v>
      </c>
    </row>
    <row r="367" spans="1:15" ht="13" hidden="1">
      <c r="A367" s="33">
        <v>43929.050232118054</v>
      </c>
      <c r="B367" s="35" t="s">
        <v>3429</v>
      </c>
      <c r="C367" s="35" t="s">
        <v>3430</v>
      </c>
      <c r="D367" s="35" t="s">
        <v>3431</v>
      </c>
      <c r="E367" s="38" t="s">
        <v>3432</v>
      </c>
      <c r="F367" s="35" t="s">
        <v>3433</v>
      </c>
      <c r="G367" s="35" t="s">
        <v>3434</v>
      </c>
      <c r="H367" s="35" t="s">
        <v>46</v>
      </c>
      <c r="I367" s="35" t="s">
        <v>15</v>
      </c>
      <c r="J367" s="35" t="s">
        <v>48</v>
      </c>
      <c r="K367" s="35" t="s">
        <v>3435</v>
      </c>
      <c r="M367" s="35" t="s">
        <v>67</v>
      </c>
      <c r="N367" s="35" t="s">
        <v>2019</v>
      </c>
      <c r="O367" s="35" t="s">
        <v>26</v>
      </c>
    </row>
    <row r="368" spans="1:15" ht="13" hidden="1">
      <c r="A368" s="33">
        <v>43929.067152696764</v>
      </c>
      <c r="B368" s="35" t="s">
        <v>3438</v>
      </c>
      <c r="C368" s="35" t="s">
        <v>3439</v>
      </c>
      <c r="D368" s="35" t="s">
        <v>3440</v>
      </c>
      <c r="E368" s="38" t="s">
        <v>3442</v>
      </c>
      <c r="F368" s="35" t="s">
        <v>3444</v>
      </c>
      <c r="G368" s="35" t="s">
        <v>3445</v>
      </c>
      <c r="H368" s="35" t="s">
        <v>506</v>
      </c>
      <c r="I368" s="35" t="s">
        <v>3446</v>
      </c>
      <c r="J368" s="35" t="s">
        <v>305</v>
      </c>
      <c r="M368" s="35" t="s">
        <v>67</v>
      </c>
      <c r="O368" s="35" t="s">
        <v>26</v>
      </c>
    </row>
    <row r="369" spans="1:15" ht="13" hidden="1">
      <c r="A369" s="33">
        <v>43929.07601611111</v>
      </c>
      <c r="B369" s="35" t="s">
        <v>230</v>
      </c>
      <c r="C369" s="35" t="s">
        <v>3447</v>
      </c>
      <c r="D369" s="35" t="s">
        <v>225</v>
      </c>
      <c r="E369" s="38" t="s">
        <v>3448</v>
      </c>
      <c r="F369" s="35" t="s">
        <v>3452</v>
      </c>
      <c r="G369" s="35" t="s">
        <v>3453</v>
      </c>
      <c r="H369" s="35" t="s">
        <v>46</v>
      </c>
      <c r="I369" s="35" t="s">
        <v>3454</v>
      </c>
      <c r="J369" s="35" t="s">
        <v>35</v>
      </c>
      <c r="K369" s="35" t="s">
        <v>3455</v>
      </c>
      <c r="L369" s="35" t="s">
        <v>3456</v>
      </c>
      <c r="M369" s="35" t="s">
        <v>67</v>
      </c>
      <c r="N369" s="35" t="s">
        <v>694</v>
      </c>
      <c r="O369" s="35" t="s">
        <v>26</v>
      </c>
    </row>
    <row r="370" spans="1:15" ht="13" hidden="1">
      <c r="A370" s="33">
        <v>43929.076400451391</v>
      </c>
      <c r="B370" s="35" t="s">
        <v>3457</v>
      </c>
      <c r="C370" s="35" t="s">
        <v>3458</v>
      </c>
      <c r="D370" s="35" t="s">
        <v>3459</v>
      </c>
      <c r="E370" s="38" t="s">
        <v>3460</v>
      </c>
      <c r="F370" s="35" t="s">
        <v>3462</v>
      </c>
      <c r="G370" s="35" t="s">
        <v>32</v>
      </c>
      <c r="H370" s="35" t="s">
        <v>46</v>
      </c>
      <c r="I370" s="35" t="s">
        <v>3463</v>
      </c>
      <c r="J370" s="35" t="s">
        <v>48</v>
      </c>
      <c r="K370" s="35" t="s">
        <v>3464</v>
      </c>
      <c r="M370" s="35" t="s">
        <v>83</v>
      </c>
      <c r="O370" s="35" t="s">
        <v>26</v>
      </c>
    </row>
    <row r="371" spans="1:15" ht="13" hidden="1">
      <c r="A371" s="33">
        <v>43929.083401481483</v>
      </c>
      <c r="B371" s="35" t="s">
        <v>3465</v>
      </c>
      <c r="C371" s="35" t="s">
        <v>3466</v>
      </c>
      <c r="D371" s="35" t="s">
        <v>3467</v>
      </c>
      <c r="E371" s="38" t="s">
        <v>3468</v>
      </c>
      <c r="F371" s="35" t="s">
        <v>3472</v>
      </c>
      <c r="G371" s="35" t="s">
        <v>802</v>
      </c>
      <c r="H371" s="35" t="s">
        <v>126</v>
      </c>
      <c r="I371" s="35" t="s">
        <v>3473</v>
      </c>
      <c r="J371" s="35" t="s">
        <v>81</v>
      </c>
      <c r="K371" s="35" t="s">
        <v>3474</v>
      </c>
      <c r="M371" s="35" t="s">
        <v>83</v>
      </c>
      <c r="N371" s="35" t="s">
        <v>3475</v>
      </c>
      <c r="O371" s="35" t="s">
        <v>26</v>
      </c>
    </row>
    <row r="372" spans="1:15" ht="13" hidden="1">
      <c r="A372" s="33">
        <v>43929.094546111111</v>
      </c>
      <c r="B372" s="35" t="s">
        <v>3476</v>
      </c>
      <c r="C372" s="35" t="s">
        <v>3477</v>
      </c>
      <c r="D372" s="35" t="s">
        <v>3467</v>
      </c>
      <c r="E372" s="38" t="s">
        <v>3478</v>
      </c>
      <c r="F372" s="35" t="s">
        <v>3480</v>
      </c>
      <c r="G372" s="35" t="s">
        <v>473</v>
      </c>
      <c r="H372" s="35" t="s">
        <v>126</v>
      </c>
      <c r="I372" s="35" t="s">
        <v>3481</v>
      </c>
      <c r="J372" s="35" t="s">
        <v>48</v>
      </c>
      <c r="M372" s="35" t="s">
        <v>67</v>
      </c>
      <c r="O372" s="35" t="s">
        <v>26</v>
      </c>
    </row>
    <row r="373" spans="1:15" ht="13" hidden="1">
      <c r="A373" s="33">
        <v>43929.102814942133</v>
      </c>
      <c r="B373" s="35" t="s">
        <v>3482</v>
      </c>
      <c r="C373" s="35" t="s">
        <v>3483</v>
      </c>
      <c r="D373" s="35" t="s">
        <v>3467</v>
      </c>
      <c r="E373" s="38" t="s">
        <v>3484</v>
      </c>
      <c r="F373" s="35" t="s">
        <v>3485</v>
      </c>
      <c r="G373" s="35" t="s">
        <v>2017</v>
      </c>
      <c r="H373" s="35" t="s">
        <v>126</v>
      </c>
      <c r="I373" s="35" t="s">
        <v>3486</v>
      </c>
      <c r="J373" s="35" t="s">
        <v>35</v>
      </c>
      <c r="M373" s="35" t="s">
        <v>83</v>
      </c>
      <c r="O373" s="35" t="s">
        <v>26</v>
      </c>
    </row>
    <row r="374" spans="1:15" ht="13" hidden="1">
      <c r="A374" s="33">
        <v>43929.155722407406</v>
      </c>
      <c r="B374" s="35" t="s">
        <v>3487</v>
      </c>
      <c r="C374" s="35" t="s">
        <v>3488</v>
      </c>
      <c r="D374" s="35" t="s">
        <v>3489</v>
      </c>
      <c r="E374" s="38" t="s">
        <v>3490</v>
      </c>
      <c r="F374" s="35" t="s">
        <v>3491</v>
      </c>
      <c r="G374" s="35" t="s">
        <v>102</v>
      </c>
      <c r="H374" s="35" t="s">
        <v>1663</v>
      </c>
      <c r="I374" s="35" t="s">
        <v>3492</v>
      </c>
      <c r="J374" s="35" t="s">
        <v>81</v>
      </c>
      <c r="M374" s="35" t="s">
        <v>83</v>
      </c>
      <c r="N374" s="35" t="s">
        <v>3493</v>
      </c>
      <c r="O374" s="35" t="s">
        <v>26</v>
      </c>
    </row>
    <row r="375" spans="1:15" ht="13" hidden="1">
      <c r="A375" s="33">
        <v>43929.169707430556</v>
      </c>
      <c r="B375" s="35" t="s">
        <v>3495</v>
      </c>
      <c r="C375" s="35" t="s">
        <v>1267</v>
      </c>
      <c r="D375" s="35" t="s">
        <v>3467</v>
      </c>
      <c r="E375" s="38" t="s">
        <v>3497</v>
      </c>
      <c r="F375" s="35" t="s">
        <v>3499</v>
      </c>
      <c r="G375" s="35" t="s">
        <v>214</v>
      </c>
      <c r="H375" s="35" t="s">
        <v>126</v>
      </c>
      <c r="I375" s="35" t="s">
        <v>3500</v>
      </c>
      <c r="J375" s="35" t="s">
        <v>48</v>
      </c>
      <c r="M375" s="35" t="s">
        <v>67</v>
      </c>
      <c r="O375" s="35" t="s">
        <v>26</v>
      </c>
    </row>
    <row r="376" spans="1:15" ht="13">
      <c r="A376" s="33">
        <v>43929.171100046296</v>
      </c>
      <c r="B376" s="35" t="s">
        <v>3420</v>
      </c>
      <c r="C376" s="35" t="s">
        <v>2698</v>
      </c>
      <c r="D376" s="35" t="s">
        <v>3421</v>
      </c>
      <c r="E376" s="38" t="s">
        <v>3422</v>
      </c>
      <c r="F376" s="35" t="s">
        <v>3423</v>
      </c>
      <c r="G376" s="35" t="s">
        <v>3424</v>
      </c>
      <c r="H376" s="35" t="s">
        <v>33</v>
      </c>
      <c r="I376" s="35" t="s">
        <v>3426</v>
      </c>
      <c r="J376" s="35" t="s">
        <v>48</v>
      </c>
      <c r="M376" s="35" t="s">
        <v>83</v>
      </c>
      <c r="N376" s="327"/>
      <c r="O376" s="35" t="s">
        <v>26</v>
      </c>
    </row>
    <row r="377" spans="1:15" ht="13" hidden="1">
      <c r="A377" s="33">
        <v>43929.187369872685</v>
      </c>
      <c r="B377" s="35" t="s">
        <v>3510</v>
      </c>
      <c r="C377" s="35" t="s">
        <v>3511</v>
      </c>
      <c r="D377" s="35" t="s">
        <v>3166</v>
      </c>
      <c r="E377" s="38" t="s">
        <v>3512</v>
      </c>
      <c r="F377" s="35" t="s">
        <v>3513</v>
      </c>
      <c r="G377" s="35" t="s">
        <v>3514</v>
      </c>
      <c r="H377" s="35" t="s">
        <v>46</v>
      </c>
      <c r="I377" s="35" t="s">
        <v>3515</v>
      </c>
      <c r="J377" s="35" t="s">
        <v>81</v>
      </c>
      <c r="K377" s="35" t="s">
        <v>3516</v>
      </c>
      <c r="M377" s="35" t="s">
        <v>67</v>
      </c>
      <c r="N377" s="35" t="s">
        <v>3517</v>
      </c>
      <c r="O377" s="35" t="s">
        <v>26</v>
      </c>
    </row>
    <row r="378" spans="1:15" ht="13">
      <c r="A378" s="33">
        <v>43929.190489259257</v>
      </c>
      <c r="B378" s="35" t="s">
        <v>2402</v>
      </c>
      <c r="C378" s="35" t="s">
        <v>2050</v>
      </c>
      <c r="D378" s="35" t="s">
        <v>2403</v>
      </c>
      <c r="E378" s="38" t="s">
        <v>2404</v>
      </c>
      <c r="F378" s="328" t="s">
        <v>2411</v>
      </c>
      <c r="G378" s="35" t="s">
        <v>214</v>
      </c>
      <c r="H378" s="35" t="s">
        <v>33</v>
      </c>
      <c r="I378" s="35" t="s">
        <v>2412</v>
      </c>
      <c r="J378" s="35" t="s">
        <v>104</v>
      </c>
      <c r="K378" s="327"/>
      <c r="L378" s="327"/>
      <c r="M378" s="35" t="s">
        <v>83</v>
      </c>
      <c r="N378" s="327"/>
      <c r="O378" s="35" t="s">
        <v>26</v>
      </c>
    </row>
    <row r="379" spans="1:15" ht="13" hidden="1">
      <c r="A379" s="33">
        <v>43929.201333194447</v>
      </c>
      <c r="B379" s="35" t="s">
        <v>3531</v>
      </c>
      <c r="C379" s="35" t="s">
        <v>2153</v>
      </c>
      <c r="D379" s="35" t="s">
        <v>3166</v>
      </c>
      <c r="E379" s="38" t="s">
        <v>3532</v>
      </c>
      <c r="F379" s="35" t="s">
        <v>3535</v>
      </c>
      <c r="G379" s="35" t="s">
        <v>3536</v>
      </c>
      <c r="H379" s="35" t="s">
        <v>46</v>
      </c>
      <c r="I379" s="35" t="s">
        <v>3537</v>
      </c>
      <c r="J379" s="35" t="s">
        <v>104</v>
      </c>
      <c r="K379" s="35" t="s">
        <v>3538</v>
      </c>
      <c r="L379" s="35" t="s">
        <v>3539</v>
      </c>
      <c r="M379" s="35" t="s">
        <v>67</v>
      </c>
      <c r="N379" s="35" t="s">
        <v>67</v>
      </c>
      <c r="O379" s="35" t="s">
        <v>26</v>
      </c>
    </row>
    <row r="380" spans="1:15" ht="13" hidden="1">
      <c r="A380" s="33">
        <v>43929.207442314815</v>
      </c>
      <c r="B380" s="35" t="s">
        <v>3540</v>
      </c>
      <c r="C380" s="35" t="s">
        <v>2943</v>
      </c>
      <c r="D380" s="35" t="s">
        <v>1153</v>
      </c>
      <c r="E380" s="38" t="s">
        <v>3541</v>
      </c>
      <c r="F380" s="35" t="s">
        <v>3542</v>
      </c>
      <c r="G380" s="35" t="s">
        <v>564</v>
      </c>
      <c r="H380" s="35" t="s">
        <v>46</v>
      </c>
      <c r="I380" s="35" t="s">
        <v>425</v>
      </c>
      <c r="J380" s="35" t="s">
        <v>48</v>
      </c>
      <c r="K380" s="35" t="s">
        <v>3543</v>
      </c>
      <c r="M380" s="35" t="s">
        <v>67</v>
      </c>
      <c r="N380" s="35" t="s">
        <v>581</v>
      </c>
      <c r="O380" s="35" t="s">
        <v>26</v>
      </c>
    </row>
    <row r="381" spans="1:15" ht="13" hidden="1">
      <c r="A381" s="33">
        <v>43929.234653333333</v>
      </c>
      <c r="B381" s="35" t="s">
        <v>3545</v>
      </c>
      <c r="C381" s="35" t="s">
        <v>3546</v>
      </c>
      <c r="D381" s="35" t="s">
        <v>3548</v>
      </c>
      <c r="E381" s="35" t="s">
        <v>3549</v>
      </c>
      <c r="F381" s="35" t="s">
        <v>3549</v>
      </c>
      <c r="G381" s="35" t="s">
        <v>296</v>
      </c>
      <c r="H381" s="35" t="s">
        <v>126</v>
      </c>
      <c r="I381" s="35" t="s">
        <v>3551</v>
      </c>
      <c r="J381" s="35" t="s">
        <v>48</v>
      </c>
      <c r="M381" s="35" t="s">
        <v>83</v>
      </c>
      <c r="N381" s="35" t="s">
        <v>304</v>
      </c>
      <c r="O381" s="35" t="s">
        <v>26</v>
      </c>
    </row>
    <row r="382" spans="1:15" ht="13" hidden="1">
      <c r="A382" s="33">
        <v>43929.234839432873</v>
      </c>
      <c r="B382" s="35" t="s">
        <v>3552</v>
      </c>
      <c r="C382" s="35" t="s">
        <v>3553</v>
      </c>
      <c r="D382" s="35" t="s">
        <v>340</v>
      </c>
      <c r="E382" s="38" t="s">
        <v>3554</v>
      </c>
      <c r="F382" s="35" t="s">
        <v>3556</v>
      </c>
      <c r="G382" s="35" t="s">
        <v>363</v>
      </c>
      <c r="H382" s="35" t="s">
        <v>46</v>
      </c>
      <c r="I382" s="35" t="s">
        <v>1995</v>
      </c>
      <c r="J382" s="35" t="s">
        <v>48</v>
      </c>
      <c r="M382" s="35" t="s">
        <v>83</v>
      </c>
      <c r="N382" s="35" t="s">
        <v>3557</v>
      </c>
      <c r="O382" s="35" t="s">
        <v>26</v>
      </c>
    </row>
    <row r="383" spans="1:15" ht="13">
      <c r="A383" s="33">
        <v>43929.241354652782</v>
      </c>
      <c r="B383" s="35" t="s">
        <v>2907</v>
      </c>
      <c r="C383" s="35" t="s">
        <v>2050</v>
      </c>
      <c r="D383" s="35" t="s">
        <v>2909</v>
      </c>
      <c r="E383" s="38" t="s">
        <v>2910</v>
      </c>
      <c r="F383" s="35" t="s">
        <v>2911</v>
      </c>
      <c r="G383" s="35" t="s">
        <v>1633</v>
      </c>
      <c r="H383" s="35" t="s">
        <v>33</v>
      </c>
      <c r="I383" s="35" t="s">
        <v>2912</v>
      </c>
      <c r="J383" s="35" t="s">
        <v>35</v>
      </c>
      <c r="K383" s="35" t="s">
        <v>2913</v>
      </c>
      <c r="L383" s="328" t="s">
        <v>2914</v>
      </c>
      <c r="M383" s="35" t="s">
        <v>67</v>
      </c>
      <c r="O383" s="35" t="s">
        <v>26</v>
      </c>
    </row>
    <row r="384" spans="1:15" ht="13" hidden="1">
      <c r="A384" s="33">
        <v>43929.247005219906</v>
      </c>
      <c r="B384" s="35" t="s">
        <v>3565</v>
      </c>
      <c r="C384" s="35" t="s">
        <v>3566</v>
      </c>
      <c r="D384" s="38" t="s">
        <v>3567</v>
      </c>
      <c r="E384" s="38" t="s">
        <v>3568</v>
      </c>
      <c r="F384" s="35" t="s">
        <v>3571</v>
      </c>
      <c r="G384" s="35" t="s">
        <v>242</v>
      </c>
      <c r="H384" s="35" t="s">
        <v>46</v>
      </c>
      <c r="I384" s="35" t="s">
        <v>3572</v>
      </c>
      <c r="J384" s="35" t="s">
        <v>104</v>
      </c>
      <c r="M384" s="35" t="s">
        <v>83</v>
      </c>
      <c r="N384" s="35" t="s">
        <v>3573</v>
      </c>
      <c r="O384" s="35" t="s">
        <v>26</v>
      </c>
    </row>
    <row r="385" spans="1:15" ht="13" hidden="1">
      <c r="A385" s="33">
        <v>43929.257476296298</v>
      </c>
      <c r="B385" s="35" t="s">
        <v>3574</v>
      </c>
      <c r="C385" s="35" t="s">
        <v>3575</v>
      </c>
      <c r="D385" s="35" t="s">
        <v>3576</v>
      </c>
      <c r="E385" s="38" t="s">
        <v>3577</v>
      </c>
      <c r="F385" s="35" t="s">
        <v>3579</v>
      </c>
      <c r="G385" s="35" t="s">
        <v>394</v>
      </c>
      <c r="H385" s="35" t="s">
        <v>46</v>
      </c>
      <c r="I385" s="35" t="s">
        <v>2458</v>
      </c>
      <c r="J385" s="35" t="s">
        <v>35</v>
      </c>
      <c r="L385" s="35" t="s">
        <v>3580</v>
      </c>
      <c r="M385" s="35" t="s">
        <v>67</v>
      </c>
      <c r="N385" s="35" t="s">
        <v>826</v>
      </c>
      <c r="O385" s="35" t="s">
        <v>26</v>
      </c>
    </row>
    <row r="386" spans="1:15" ht="13" hidden="1">
      <c r="A386" s="33">
        <v>43929.267418275464</v>
      </c>
      <c r="B386" s="35" t="s">
        <v>3581</v>
      </c>
      <c r="C386" s="35" t="s">
        <v>3582</v>
      </c>
      <c r="D386" s="35" t="s">
        <v>3583</v>
      </c>
      <c r="E386" s="38" t="s">
        <v>3584</v>
      </c>
      <c r="F386" s="35" t="s">
        <v>3585</v>
      </c>
      <c r="G386" s="35" t="s">
        <v>802</v>
      </c>
      <c r="H386" s="35" t="s">
        <v>46</v>
      </c>
      <c r="I386" s="35" t="s">
        <v>3586</v>
      </c>
      <c r="J386" s="35" t="s">
        <v>104</v>
      </c>
      <c r="M386" s="35" t="s">
        <v>83</v>
      </c>
      <c r="N386" s="35" t="s">
        <v>3587</v>
      </c>
      <c r="O386" s="35" t="s">
        <v>26</v>
      </c>
    </row>
    <row r="387" spans="1:15" ht="13" hidden="1">
      <c r="A387" s="33">
        <v>43929.282268958334</v>
      </c>
      <c r="B387" s="35" t="s">
        <v>3588</v>
      </c>
      <c r="C387" s="35" t="s">
        <v>3589</v>
      </c>
      <c r="D387" s="35" t="s">
        <v>3590</v>
      </c>
      <c r="E387" s="35" t="s">
        <v>3592</v>
      </c>
      <c r="F387" s="35" t="s">
        <v>3594</v>
      </c>
      <c r="G387" s="35" t="s">
        <v>3596</v>
      </c>
      <c r="H387" s="35" t="s">
        <v>46</v>
      </c>
      <c r="I387" s="35" t="s">
        <v>3599</v>
      </c>
      <c r="J387" s="35" t="s">
        <v>35</v>
      </c>
      <c r="K387" s="35" t="s">
        <v>3601</v>
      </c>
      <c r="M387" s="35" t="s">
        <v>83</v>
      </c>
      <c r="N387" s="35" t="s">
        <v>3602</v>
      </c>
      <c r="O387" s="35" t="s">
        <v>26</v>
      </c>
    </row>
    <row r="388" spans="1:15" ht="13" hidden="1">
      <c r="A388" s="33">
        <v>43929.282324872685</v>
      </c>
      <c r="B388" s="35" t="s">
        <v>3603</v>
      </c>
      <c r="C388" s="35" t="s">
        <v>3604</v>
      </c>
      <c r="D388" s="35" t="s">
        <v>3605</v>
      </c>
      <c r="E388" s="38" t="s">
        <v>3606</v>
      </c>
      <c r="F388" s="35" t="s">
        <v>3607</v>
      </c>
      <c r="G388" s="35" t="s">
        <v>802</v>
      </c>
      <c r="H388" s="35" t="s">
        <v>506</v>
      </c>
      <c r="I388" s="35" t="s">
        <v>3608</v>
      </c>
      <c r="J388" s="35" t="s">
        <v>566</v>
      </c>
      <c r="M388" s="35" t="s">
        <v>83</v>
      </c>
      <c r="O388" s="35" t="s">
        <v>26</v>
      </c>
    </row>
    <row r="389" spans="1:15" ht="13" hidden="1">
      <c r="A389" s="33">
        <v>43929.352478865738</v>
      </c>
      <c r="B389" s="35" t="s">
        <v>3609</v>
      </c>
      <c r="C389" s="35" t="s">
        <v>1766</v>
      </c>
      <c r="D389" s="35" t="s">
        <v>3610</v>
      </c>
      <c r="E389" s="38" t="s">
        <v>3611</v>
      </c>
      <c r="F389" s="35" t="s">
        <v>3613</v>
      </c>
      <c r="G389" s="35" t="s">
        <v>1185</v>
      </c>
      <c r="H389" s="35" t="s">
        <v>46</v>
      </c>
      <c r="I389" s="35" t="s">
        <v>1112</v>
      </c>
      <c r="J389" s="35" t="s">
        <v>48</v>
      </c>
      <c r="M389" s="35" t="s">
        <v>67</v>
      </c>
      <c r="N389" s="35" t="s">
        <v>1112</v>
      </c>
      <c r="O389" s="35" t="s">
        <v>26</v>
      </c>
    </row>
    <row r="390" spans="1:15" ht="13">
      <c r="A390" s="33">
        <v>43929.371432488428</v>
      </c>
      <c r="B390" s="35" t="s">
        <v>2932</v>
      </c>
      <c r="C390" s="35" t="s">
        <v>2050</v>
      </c>
      <c r="D390" s="35" t="s">
        <v>1153</v>
      </c>
      <c r="E390" s="38" t="s">
        <v>2933</v>
      </c>
      <c r="F390" s="35" t="s">
        <v>2934</v>
      </c>
      <c r="G390" s="35" t="s">
        <v>1633</v>
      </c>
      <c r="H390" s="35" t="s">
        <v>33</v>
      </c>
      <c r="I390" s="35" t="s">
        <v>1897</v>
      </c>
      <c r="J390" s="35" t="s">
        <v>104</v>
      </c>
      <c r="K390" s="327"/>
      <c r="M390" s="35" t="s">
        <v>83</v>
      </c>
      <c r="N390" s="327"/>
      <c r="O390" s="35" t="s">
        <v>26</v>
      </c>
    </row>
    <row r="391" spans="1:15" ht="13">
      <c r="A391" s="33">
        <v>43929.374028159727</v>
      </c>
      <c r="B391" s="35" t="s">
        <v>4345</v>
      </c>
      <c r="C391" s="35" t="s">
        <v>2050</v>
      </c>
      <c r="D391" s="35" t="s">
        <v>4346</v>
      </c>
      <c r="E391" s="38" t="s">
        <v>4347</v>
      </c>
      <c r="F391" s="35" t="s">
        <v>4349</v>
      </c>
      <c r="G391" s="35" t="s">
        <v>63</v>
      </c>
      <c r="H391" s="35" t="s">
        <v>33</v>
      </c>
      <c r="I391" s="35" t="s">
        <v>1587</v>
      </c>
      <c r="J391" s="35" t="s">
        <v>35</v>
      </c>
      <c r="M391" s="35" t="s">
        <v>83</v>
      </c>
      <c r="N391" s="327"/>
      <c r="O391" s="35" t="s">
        <v>26</v>
      </c>
    </row>
    <row r="392" spans="1:15" ht="13" hidden="1">
      <c r="A392" s="33">
        <v>43929.490664849538</v>
      </c>
      <c r="B392" s="35" t="s">
        <v>3628</v>
      </c>
      <c r="C392" s="35" t="s">
        <v>162</v>
      </c>
      <c r="D392" s="35" t="s">
        <v>3629</v>
      </c>
      <c r="E392" s="38" t="s">
        <v>3630</v>
      </c>
      <c r="F392" s="35" t="s">
        <v>3635</v>
      </c>
      <c r="G392" s="35" t="s">
        <v>452</v>
      </c>
      <c r="H392" s="35" t="s">
        <v>46</v>
      </c>
      <c r="I392" s="35" t="s">
        <v>255</v>
      </c>
      <c r="J392" s="35" t="s">
        <v>104</v>
      </c>
      <c r="L392" s="35" t="s">
        <v>3636</v>
      </c>
      <c r="M392" s="35" t="s">
        <v>83</v>
      </c>
      <c r="N392" s="35" t="s">
        <v>3637</v>
      </c>
      <c r="O392" s="35" t="s">
        <v>26</v>
      </c>
    </row>
    <row r="393" spans="1:15" ht="13">
      <c r="A393" s="33">
        <v>43929.555171851855</v>
      </c>
      <c r="B393" s="35" t="s">
        <v>9581</v>
      </c>
      <c r="C393" s="324" t="s">
        <v>2050</v>
      </c>
      <c r="D393" s="324" t="s">
        <v>6286</v>
      </c>
      <c r="E393" s="324"/>
      <c r="F393" s="327"/>
      <c r="G393" s="324" t="s">
        <v>32</v>
      </c>
      <c r="H393" s="324" t="s">
        <v>33</v>
      </c>
      <c r="I393" s="324" t="s">
        <v>9546</v>
      </c>
      <c r="J393" s="324" t="s">
        <v>48</v>
      </c>
      <c r="K393" s="327"/>
      <c r="M393" s="324" t="s">
        <v>83</v>
      </c>
      <c r="N393" s="324" t="s">
        <v>9551</v>
      </c>
      <c r="O393" s="35" t="s">
        <v>26</v>
      </c>
    </row>
    <row r="394" spans="1:15" ht="13" hidden="1">
      <c r="A394" s="33">
        <v>43929.707877106484</v>
      </c>
      <c r="B394" s="35" t="s">
        <v>3644</v>
      </c>
      <c r="C394" s="35" t="s">
        <v>3645</v>
      </c>
      <c r="D394" s="35" t="s">
        <v>3646</v>
      </c>
      <c r="E394" s="38" t="s">
        <v>3647</v>
      </c>
      <c r="F394" s="35" t="s">
        <v>3648</v>
      </c>
      <c r="G394" s="35" t="s">
        <v>931</v>
      </c>
      <c r="H394" s="35" t="s">
        <v>46</v>
      </c>
      <c r="I394" s="35" t="s">
        <v>3649</v>
      </c>
      <c r="J394" s="35" t="s">
        <v>48</v>
      </c>
      <c r="M394" s="35" t="s">
        <v>67</v>
      </c>
      <c r="O394" s="35" t="s">
        <v>26</v>
      </c>
    </row>
    <row r="395" spans="1:15" ht="13" hidden="1">
      <c r="A395" s="33">
        <v>43929.788424479164</v>
      </c>
      <c r="B395" s="35" t="s">
        <v>3650</v>
      </c>
      <c r="C395" s="35" t="s">
        <v>3651</v>
      </c>
      <c r="D395" s="35" t="s">
        <v>3652</v>
      </c>
      <c r="E395" s="38" t="s">
        <v>3653</v>
      </c>
      <c r="F395" s="35" t="s">
        <v>3658</v>
      </c>
      <c r="G395" s="35" t="s">
        <v>3659</v>
      </c>
      <c r="H395" s="35" t="s">
        <v>3660</v>
      </c>
      <c r="I395" s="35" t="s">
        <v>3661</v>
      </c>
      <c r="J395" s="35" t="s">
        <v>81</v>
      </c>
      <c r="M395" s="35" t="s">
        <v>83</v>
      </c>
      <c r="O395" s="35" t="s">
        <v>26</v>
      </c>
    </row>
    <row r="396" spans="1:15" ht="13" hidden="1">
      <c r="A396" s="33">
        <v>43929.817701261578</v>
      </c>
      <c r="B396" s="35" t="s">
        <v>3663</v>
      </c>
      <c r="C396" s="35" t="s">
        <v>3664</v>
      </c>
      <c r="D396" s="35" t="s">
        <v>3467</v>
      </c>
      <c r="E396" s="38" t="s">
        <v>3665</v>
      </c>
      <c r="F396" s="35" t="s">
        <v>3666</v>
      </c>
      <c r="G396" s="35" t="s">
        <v>1994</v>
      </c>
      <c r="H396" s="35" t="s">
        <v>126</v>
      </c>
      <c r="I396" s="35" t="s">
        <v>3667</v>
      </c>
      <c r="J396" s="35" t="s">
        <v>35</v>
      </c>
      <c r="K396" s="35" t="s">
        <v>3668</v>
      </c>
      <c r="M396" s="35" t="s">
        <v>67</v>
      </c>
      <c r="N396" s="35" t="s">
        <v>3669</v>
      </c>
      <c r="O396" s="35" t="s">
        <v>26</v>
      </c>
    </row>
    <row r="397" spans="1:15" ht="13">
      <c r="A397" s="33">
        <v>43929.868057175925</v>
      </c>
      <c r="B397" s="35" t="s">
        <v>5606</v>
      </c>
      <c r="C397" s="328" t="s">
        <v>5607</v>
      </c>
      <c r="D397" s="328" t="s">
        <v>5608</v>
      </c>
      <c r="E397" s="38" t="s">
        <v>5609</v>
      </c>
      <c r="F397" s="328" t="s">
        <v>5614</v>
      </c>
      <c r="G397" s="328" t="s">
        <v>1391</v>
      </c>
      <c r="H397" s="328" t="s">
        <v>33</v>
      </c>
      <c r="I397" s="328" t="s">
        <v>5615</v>
      </c>
      <c r="J397" s="328" t="s">
        <v>35</v>
      </c>
      <c r="K397" s="328" t="s">
        <v>5616</v>
      </c>
      <c r="L397" s="328" t="s">
        <v>5617</v>
      </c>
      <c r="M397" s="328" t="s">
        <v>83</v>
      </c>
      <c r="N397" s="328" t="s">
        <v>5618</v>
      </c>
      <c r="O397" s="35" t="s">
        <v>26</v>
      </c>
    </row>
    <row r="398" spans="1:15" ht="13" hidden="1">
      <c r="A398" s="33">
        <v>43929.897977106477</v>
      </c>
      <c r="B398" s="35" t="s">
        <v>3677</v>
      </c>
      <c r="C398" s="35" t="s">
        <v>3678</v>
      </c>
      <c r="D398" s="35" t="s">
        <v>87</v>
      </c>
      <c r="E398" s="38" t="s">
        <v>3679</v>
      </c>
      <c r="F398" s="35" t="s">
        <v>3684</v>
      </c>
      <c r="G398" s="35" t="s">
        <v>3685</v>
      </c>
      <c r="H398" s="35" t="s">
        <v>46</v>
      </c>
      <c r="I398" s="35" t="s">
        <v>3686</v>
      </c>
      <c r="J398" s="35" t="s">
        <v>48</v>
      </c>
      <c r="M398" s="35" t="s">
        <v>83</v>
      </c>
      <c r="N398" s="35" t="s">
        <v>3687</v>
      </c>
      <c r="O398" s="35" t="s">
        <v>26</v>
      </c>
    </row>
    <row r="399" spans="1:15" ht="13" hidden="1">
      <c r="A399" s="33">
        <v>43929.899765810187</v>
      </c>
      <c r="B399" s="35" t="s">
        <v>3688</v>
      </c>
      <c r="C399" s="35" t="s">
        <v>2387</v>
      </c>
      <c r="D399" s="35" t="s">
        <v>2505</v>
      </c>
      <c r="E399" s="38" t="s">
        <v>3689</v>
      </c>
      <c r="F399" s="35" t="s">
        <v>3690</v>
      </c>
      <c r="G399" s="35" t="s">
        <v>709</v>
      </c>
      <c r="H399" s="35" t="s">
        <v>46</v>
      </c>
      <c r="I399" s="35" t="s">
        <v>3691</v>
      </c>
      <c r="J399" s="35" t="s">
        <v>48</v>
      </c>
      <c r="K399" s="35" t="s">
        <v>3692</v>
      </c>
      <c r="M399" s="35" t="s">
        <v>67</v>
      </c>
      <c r="N399" s="35" t="s">
        <v>3693</v>
      </c>
      <c r="O399" s="35" t="s">
        <v>26</v>
      </c>
    </row>
    <row r="400" spans="1:15" ht="13">
      <c r="A400" s="33">
        <v>43929.908907395831</v>
      </c>
      <c r="B400" s="35" t="s">
        <v>4814</v>
      </c>
      <c r="C400" s="35" t="s">
        <v>4815</v>
      </c>
      <c r="D400" s="35" t="s">
        <v>4816</v>
      </c>
      <c r="E400" s="38" t="s">
        <v>4817</v>
      </c>
      <c r="F400" s="35" t="s">
        <v>4821</v>
      </c>
      <c r="G400" s="35" t="s">
        <v>4822</v>
      </c>
      <c r="H400" s="35" t="s">
        <v>33</v>
      </c>
      <c r="I400" s="35" t="s">
        <v>4823</v>
      </c>
      <c r="J400" s="35" t="s">
        <v>746</v>
      </c>
      <c r="K400" s="327"/>
      <c r="L400" s="327"/>
      <c r="M400" s="35" t="s">
        <v>83</v>
      </c>
      <c r="N400" s="327"/>
      <c r="O400" s="35" t="s">
        <v>26</v>
      </c>
    </row>
    <row r="401" spans="1:15" ht="13" hidden="1">
      <c r="A401" s="33">
        <v>43929.91250608796</v>
      </c>
      <c r="B401" s="35" t="s">
        <v>3703</v>
      </c>
      <c r="C401" s="35" t="s">
        <v>2364</v>
      </c>
      <c r="D401" s="35" t="s">
        <v>3704</v>
      </c>
      <c r="E401" s="38" t="s">
        <v>3705</v>
      </c>
      <c r="F401" s="35" t="s">
        <v>3706</v>
      </c>
      <c r="G401" s="35" t="s">
        <v>802</v>
      </c>
      <c r="H401" s="35" t="s">
        <v>3707</v>
      </c>
      <c r="I401" s="35" t="s">
        <v>3708</v>
      </c>
      <c r="J401" s="35" t="s">
        <v>104</v>
      </c>
      <c r="M401" s="35" t="s">
        <v>83</v>
      </c>
      <c r="O401" s="35" t="s">
        <v>26</v>
      </c>
    </row>
    <row r="402" spans="1:15" ht="13" hidden="1">
      <c r="A402" s="33">
        <v>43929.914283101854</v>
      </c>
      <c r="B402" s="35" t="s">
        <v>3709</v>
      </c>
      <c r="C402" s="35" t="s">
        <v>3710</v>
      </c>
      <c r="D402" s="35" t="s">
        <v>1240</v>
      </c>
      <c r="E402" s="38" t="s">
        <v>3711</v>
      </c>
      <c r="F402" s="35" t="s">
        <v>3712</v>
      </c>
      <c r="G402" s="35" t="s">
        <v>296</v>
      </c>
      <c r="H402" s="35" t="s">
        <v>46</v>
      </c>
      <c r="I402" s="35" t="s">
        <v>3713</v>
      </c>
      <c r="J402" s="35" t="s">
        <v>48</v>
      </c>
      <c r="M402" s="35" t="s">
        <v>67</v>
      </c>
      <c r="N402" s="35" t="s">
        <v>662</v>
      </c>
      <c r="O402" s="35" t="s">
        <v>26</v>
      </c>
    </row>
    <row r="403" spans="1:15" ht="13" hidden="1">
      <c r="A403" s="33">
        <v>43929.932137974538</v>
      </c>
      <c r="B403" s="35" t="s">
        <v>3715</v>
      </c>
      <c r="C403" s="35" t="s">
        <v>3716</v>
      </c>
      <c r="D403" s="35" t="s">
        <v>1240</v>
      </c>
      <c r="E403" s="38" t="s">
        <v>3718</v>
      </c>
      <c r="F403" s="35" t="s">
        <v>3723</v>
      </c>
      <c r="G403" s="35" t="s">
        <v>519</v>
      </c>
      <c r="H403" s="35" t="s">
        <v>46</v>
      </c>
      <c r="I403" s="35" t="s">
        <v>3724</v>
      </c>
      <c r="J403" s="35" t="s">
        <v>104</v>
      </c>
      <c r="K403" s="35" t="s">
        <v>3725</v>
      </c>
      <c r="M403" s="35" t="s">
        <v>83</v>
      </c>
      <c r="N403" s="35" t="s">
        <v>3726</v>
      </c>
      <c r="O403" s="35" t="s">
        <v>26</v>
      </c>
    </row>
    <row r="404" spans="1:15" ht="13">
      <c r="A404" s="33">
        <v>43929.939256851852</v>
      </c>
      <c r="B404" s="35" t="s">
        <v>9152</v>
      </c>
      <c r="C404" s="35" t="s">
        <v>9153</v>
      </c>
      <c r="D404" s="35" t="s">
        <v>8486</v>
      </c>
      <c r="E404" s="38" t="s">
        <v>9154</v>
      </c>
      <c r="F404" s="327"/>
      <c r="G404" s="35" t="s">
        <v>9155</v>
      </c>
      <c r="H404" s="35" t="s">
        <v>33</v>
      </c>
      <c r="I404" s="35" t="s">
        <v>9156</v>
      </c>
      <c r="J404" s="35" t="s">
        <v>81</v>
      </c>
      <c r="K404" s="35" t="s">
        <v>9157</v>
      </c>
      <c r="L404" s="327"/>
      <c r="M404" s="35" t="s">
        <v>83</v>
      </c>
      <c r="N404" s="328" t="s">
        <v>33</v>
      </c>
      <c r="O404" s="35" t="s">
        <v>26</v>
      </c>
    </row>
    <row r="405" spans="1:15" ht="13" hidden="1">
      <c r="A405" s="33">
        <v>43929.956272013893</v>
      </c>
      <c r="B405" s="35" t="s">
        <v>3735</v>
      </c>
      <c r="C405" s="35" t="s">
        <v>3736</v>
      </c>
      <c r="D405" s="35" t="s">
        <v>1240</v>
      </c>
      <c r="E405" s="38" t="s">
        <v>3737</v>
      </c>
      <c r="F405" s="35" t="s">
        <v>3741</v>
      </c>
      <c r="G405" s="35" t="s">
        <v>519</v>
      </c>
      <c r="H405" s="35" t="s">
        <v>46</v>
      </c>
      <c r="I405" s="35" t="s">
        <v>3742</v>
      </c>
      <c r="J405" s="35" t="s">
        <v>48</v>
      </c>
      <c r="K405" s="35" t="s">
        <v>3743</v>
      </c>
      <c r="L405" s="35" t="s">
        <v>3744</v>
      </c>
      <c r="M405" s="35" t="s">
        <v>83</v>
      </c>
      <c r="N405" s="35" t="s">
        <v>170</v>
      </c>
      <c r="O405" s="35" t="s">
        <v>26</v>
      </c>
    </row>
    <row r="406" spans="1:15" ht="13" hidden="1">
      <c r="A406" s="33">
        <v>43929.977971689819</v>
      </c>
      <c r="B406" s="35" t="s">
        <v>3745</v>
      </c>
      <c r="C406" s="35" t="s">
        <v>3746</v>
      </c>
      <c r="D406" s="35" t="s">
        <v>1240</v>
      </c>
      <c r="E406" s="38" t="s">
        <v>3747</v>
      </c>
      <c r="F406" s="35" t="s">
        <v>3748</v>
      </c>
      <c r="G406" s="35" t="s">
        <v>702</v>
      </c>
      <c r="H406" s="35" t="s">
        <v>46</v>
      </c>
      <c r="I406" s="35" t="s">
        <v>1240</v>
      </c>
      <c r="J406" s="35" t="s">
        <v>48</v>
      </c>
      <c r="K406" s="35" t="s">
        <v>3749</v>
      </c>
      <c r="L406" s="35" t="s">
        <v>3750</v>
      </c>
      <c r="M406" s="35" t="s">
        <v>83</v>
      </c>
      <c r="N406" s="35" t="s">
        <v>826</v>
      </c>
      <c r="O406" s="35" t="s">
        <v>26</v>
      </c>
    </row>
    <row r="407" spans="1:15" ht="13">
      <c r="A407" s="33">
        <v>43929.991863831019</v>
      </c>
      <c r="B407" s="35" t="s">
        <v>9447</v>
      </c>
      <c r="C407" s="35" t="s">
        <v>9448</v>
      </c>
      <c r="D407" s="35" t="s">
        <v>2380</v>
      </c>
      <c r="E407" s="304" t="s">
        <v>9449</v>
      </c>
      <c r="F407" s="35" t="s">
        <v>9450</v>
      </c>
      <c r="G407" s="35" t="s">
        <v>9451</v>
      </c>
      <c r="H407" s="35" t="s">
        <v>33</v>
      </c>
      <c r="I407" s="319" t="s">
        <v>9423</v>
      </c>
      <c r="J407" s="327"/>
      <c r="K407" s="327"/>
      <c r="L407" s="327"/>
      <c r="M407" s="327"/>
      <c r="O407" s="35" t="s">
        <v>26</v>
      </c>
    </row>
    <row r="408" spans="1:15" ht="13">
      <c r="A408" s="33">
        <v>43929.99353</v>
      </c>
      <c r="B408" s="35" t="s">
        <v>3295</v>
      </c>
      <c r="C408" s="35" t="s">
        <v>3296</v>
      </c>
      <c r="D408" s="35" t="s">
        <v>1153</v>
      </c>
      <c r="E408" s="38" t="s">
        <v>3298</v>
      </c>
      <c r="F408" s="35" t="s">
        <v>3299</v>
      </c>
      <c r="G408" s="35" t="s">
        <v>3300</v>
      </c>
      <c r="H408" s="35" t="s">
        <v>33</v>
      </c>
      <c r="I408" s="35" t="s">
        <v>425</v>
      </c>
      <c r="J408" s="35" t="s">
        <v>104</v>
      </c>
      <c r="K408" s="35" t="s">
        <v>3301</v>
      </c>
      <c r="L408" s="327"/>
      <c r="M408" s="35" t="s">
        <v>83</v>
      </c>
      <c r="N408" s="327"/>
      <c r="O408" s="35" t="s">
        <v>26</v>
      </c>
    </row>
    <row r="409" spans="1:15" ht="13">
      <c r="A409" s="33">
        <v>43929.993968796298</v>
      </c>
      <c r="B409" s="35" t="s">
        <v>2031</v>
      </c>
      <c r="C409" s="328" t="s">
        <v>2032</v>
      </c>
      <c r="D409" s="328" t="s">
        <v>2034</v>
      </c>
      <c r="E409" s="38" t="s">
        <v>2035</v>
      </c>
      <c r="F409" s="328" t="s">
        <v>2038</v>
      </c>
      <c r="G409" s="328" t="s">
        <v>214</v>
      </c>
      <c r="H409" s="328" t="s">
        <v>33</v>
      </c>
      <c r="I409" s="328" t="s">
        <v>2039</v>
      </c>
      <c r="J409" s="328" t="s">
        <v>48</v>
      </c>
      <c r="K409" s="328" t="s">
        <v>2040</v>
      </c>
      <c r="L409" s="328" t="s">
        <v>2041</v>
      </c>
      <c r="M409" s="328" t="s">
        <v>67</v>
      </c>
      <c r="N409" s="327"/>
      <c r="O409" s="35" t="s">
        <v>26</v>
      </c>
    </row>
    <row r="410" spans="1:15" ht="13">
      <c r="A410" s="33">
        <v>43929.993992384261</v>
      </c>
      <c r="B410" s="35" t="s">
        <v>5325</v>
      </c>
      <c r="C410" s="35" t="s">
        <v>2032</v>
      </c>
      <c r="D410" s="35" t="s">
        <v>5326</v>
      </c>
      <c r="E410" s="38" t="s">
        <v>5327</v>
      </c>
      <c r="F410" s="35" t="s">
        <v>5329</v>
      </c>
      <c r="G410" s="35" t="s">
        <v>214</v>
      </c>
      <c r="H410" s="35" t="s">
        <v>33</v>
      </c>
      <c r="I410" s="35" t="s">
        <v>5331</v>
      </c>
      <c r="J410" s="35" t="s">
        <v>35</v>
      </c>
      <c r="K410" s="327"/>
      <c r="L410" s="327"/>
      <c r="M410" s="35" t="s">
        <v>83</v>
      </c>
      <c r="N410" s="327"/>
      <c r="O410" s="35" t="s">
        <v>26</v>
      </c>
    </row>
    <row r="411" spans="1:15" ht="13">
      <c r="A411" s="33">
        <v>43930.000998206015</v>
      </c>
      <c r="B411" s="35" t="s">
        <v>4871</v>
      </c>
      <c r="C411" s="35" t="s">
        <v>2936</v>
      </c>
      <c r="D411" s="328" t="s">
        <v>2388</v>
      </c>
      <c r="E411" s="38" t="s">
        <v>4872</v>
      </c>
      <c r="F411" s="35" t="s">
        <v>4874</v>
      </c>
      <c r="G411" s="35" t="s">
        <v>214</v>
      </c>
      <c r="H411" s="35" t="s">
        <v>33</v>
      </c>
      <c r="I411" s="35" t="s">
        <v>4875</v>
      </c>
      <c r="J411" s="35" t="s">
        <v>48</v>
      </c>
      <c r="K411" s="328" t="s">
        <v>4876</v>
      </c>
      <c r="L411" s="327"/>
      <c r="M411" s="35" t="s">
        <v>83</v>
      </c>
      <c r="N411" s="327"/>
      <c r="O411" s="35" t="s">
        <v>26</v>
      </c>
    </row>
    <row r="412" spans="1:15" ht="13">
      <c r="A412" s="33">
        <v>43930.005732777776</v>
      </c>
      <c r="B412" s="35" t="s">
        <v>5853</v>
      </c>
      <c r="C412" s="35" t="s">
        <v>2936</v>
      </c>
      <c r="D412" s="35" t="s">
        <v>5276</v>
      </c>
      <c r="E412" s="38" t="s">
        <v>5854</v>
      </c>
      <c r="F412" s="35" t="s">
        <v>5856</v>
      </c>
      <c r="G412" s="35" t="s">
        <v>5458</v>
      </c>
      <c r="H412" s="35" t="s">
        <v>33</v>
      </c>
      <c r="I412" s="35" t="s">
        <v>5859</v>
      </c>
      <c r="J412" s="35" t="s">
        <v>48</v>
      </c>
      <c r="K412" s="35" t="s">
        <v>5860</v>
      </c>
      <c r="L412" s="328" t="s">
        <v>5861</v>
      </c>
      <c r="M412" s="35" t="s">
        <v>67</v>
      </c>
      <c r="N412" s="328" t="s">
        <v>5862</v>
      </c>
      <c r="O412" s="35" t="s">
        <v>26</v>
      </c>
    </row>
    <row r="413" spans="1:15" ht="13" hidden="1">
      <c r="A413" s="33">
        <v>43930.013876296296</v>
      </c>
      <c r="B413" s="35" t="s">
        <v>3812</v>
      </c>
      <c r="C413" s="35" t="s">
        <v>3813</v>
      </c>
      <c r="D413" s="35" t="s">
        <v>1240</v>
      </c>
      <c r="E413" s="38" t="s">
        <v>3814</v>
      </c>
      <c r="F413" s="35" t="s">
        <v>3815</v>
      </c>
      <c r="G413" s="35" t="s">
        <v>463</v>
      </c>
      <c r="H413" s="35" t="s">
        <v>46</v>
      </c>
      <c r="I413" s="35" t="s">
        <v>3817</v>
      </c>
      <c r="J413" s="35" t="s">
        <v>48</v>
      </c>
      <c r="K413" s="35" t="s">
        <v>3818</v>
      </c>
      <c r="L413" s="35" t="s">
        <v>3819</v>
      </c>
      <c r="M413" s="35" t="s">
        <v>67</v>
      </c>
      <c r="O413" s="35" t="s">
        <v>26</v>
      </c>
    </row>
    <row r="414" spans="1:15" ht="13" hidden="1">
      <c r="A414" s="33">
        <v>43930.014352233797</v>
      </c>
      <c r="B414" s="35" t="s">
        <v>3820</v>
      </c>
      <c r="C414" s="35" t="s">
        <v>3821</v>
      </c>
      <c r="D414" s="35" t="s">
        <v>1240</v>
      </c>
      <c r="E414" s="38" t="s">
        <v>3822</v>
      </c>
      <c r="F414" s="35" t="s">
        <v>3825</v>
      </c>
      <c r="G414" s="35" t="s">
        <v>394</v>
      </c>
      <c r="H414" s="35" t="s">
        <v>46</v>
      </c>
      <c r="I414" s="35" t="s">
        <v>3827</v>
      </c>
      <c r="J414" s="35" t="s">
        <v>48</v>
      </c>
      <c r="K414" s="35" t="s">
        <v>3828</v>
      </c>
      <c r="L414" s="35" t="s">
        <v>3829</v>
      </c>
      <c r="M414" s="35" t="s">
        <v>67</v>
      </c>
      <c r="N414" s="35" t="s">
        <v>304</v>
      </c>
      <c r="O414" s="35" t="s">
        <v>26</v>
      </c>
    </row>
    <row r="415" spans="1:15" ht="13" hidden="1">
      <c r="A415" s="33">
        <v>43930.016615127315</v>
      </c>
      <c r="B415" s="35" t="s">
        <v>3831</v>
      </c>
      <c r="C415" s="35" t="s">
        <v>3832</v>
      </c>
      <c r="D415" s="35" t="s">
        <v>3833</v>
      </c>
      <c r="E415" s="38" t="s">
        <v>3834</v>
      </c>
      <c r="F415" s="35" t="s">
        <v>3835</v>
      </c>
      <c r="G415" s="35" t="s">
        <v>3836</v>
      </c>
      <c r="H415" s="35" t="s">
        <v>46</v>
      </c>
      <c r="I415" s="35" t="s">
        <v>3837</v>
      </c>
      <c r="J415" s="35" t="s">
        <v>35</v>
      </c>
      <c r="M415" s="35" t="s">
        <v>83</v>
      </c>
      <c r="N415" s="35" t="s">
        <v>3838</v>
      </c>
      <c r="O415" s="35" t="s">
        <v>26</v>
      </c>
    </row>
    <row r="416" spans="1:15" ht="13" hidden="1">
      <c r="A416" s="33">
        <v>43930.019185092591</v>
      </c>
      <c r="B416" s="35" t="s">
        <v>3839</v>
      </c>
      <c r="C416" s="35" t="s">
        <v>3840</v>
      </c>
      <c r="D416" s="35" t="s">
        <v>1240</v>
      </c>
      <c r="E416" s="38" t="s">
        <v>3841</v>
      </c>
      <c r="F416" s="35" t="s">
        <v>3842</v>
      </c>
      <c r="G416" s="35" t="s">
        <v>363</v>
      </c>
      <c r="H416" s="35" t="s">
        <v>2618</v>
      </c>
      <c r="I416" s="35" t="s">
        <v>3843</v>
      </c>
      <c r="J416" s="35" t="s">
        <v>104</v>
      </c>
      <c r="M416" s="35" t="s">
        <v>83</v>
      </c>
      <c r="N416" s="35" t="s">
        <v>83</v>
      </c>
      <c r="O416" s="35" t="s">
        <v>26</v>
      </c>
    </row>
    <row r="417" spans="1:15" ht="13">
      <c r="A417" s="33">
        <v>43930.041552025461</v>
      </c>
      <c r="B417" s="35" t="s">
        <v>8762</v>
      </c>
      <c r="C417" s="35" t="s">
        <v>2936</v>
      </c>
      <c r="D417" s="35" t="s">
        <v>3382</v>
      </c>
      <c r="E417" s="38" t="s">
        <v>8763</v>
      </c>
      <c r="F417" s="327"/>
      <c r="G417" s="35" t="s">
        <v>8722</v>
      </c>
      <c r="H417" s="35" t="s">
        <v>33</v>
      </c>
      <c r="I417" s="35" t="s">
        <v>8767</v>
      </c>
      <c r="J417" s="35" t="s">
        <v>48</v>
      </c>
      <c r="K417" s="328" t="s">
        <v>8768</v>
      </c>
      <c r="L417" s="328" t="s">
        <v>8769</v>
      </c>
      <c r="M417" s="35" t="s">
        <v>67</v>
      </c>
      <c r="N417" s="327"/>
      <c r="O417" s="35" t="s">
        <v>26</v>
      </c>
    </row>
    <row r="418" spans="1:15" ht="13" hidden="1">
      <c r="A418" s="33">
        <v>43930.06005774306</v>
      </c>
      <c r="B418" s="35" t="s">
        <v>3853</v>
      </c>
      <c r="C418" s="35" t="s">
        <v>2652</v>
      </c>
      <c r="D418" s="35" t="s">
        <v>3854</v>
      </c>
      <c r="E418" s="38" t="s">
        <v>3855</v>
      </c>
      <c r="F418" s="35" t="s">
        <v>3856</v>
      </c>
      <c r="G418" s="35" t="s">
        <v>344</v>
      </c>
      <c r="H418" s="35" t="s">
        <v>46</v>
      </c>
      <c r="I418" s="35" t="s">
        <v>3857</v>
      </c>
      <c r="J418" s="35" t="s">
        <v>48</v>
      </c>
      <c r="K418" s="35" t="s">
        <v>3858</v>
      </c>
      <c r="L418" s="35" t="s">
        <v>3859</v>
      </c>
      <c r="M418" s="35" t="s">
        <v>67</v>
      </c>
      <c r="N418" s="35" t="s">
        <v>3860</v>
      </c>
      <c r="O418" s="35" t="s">
        <v>26</v>
      </c>
    </row>
    <row r="419" spans="1:15" ht="13" hidden="1">
      <c r="A419" s="33">
        <v>43930.062862025465</v>
      </c>
      <c r="B419" s="35" t="s">
        <v>3861</v>
      </c>
      <c r="C419" s="35" t="s">
        <v>3862</v>
      </c>
      <c r="D419" s="35" t="s">
        <v>3863</v>
      </c>
      <c r="E419" s="38" t="s">
        <v>3864</v>
      </c>
      <c r="F419" s="35" t="s">
        <v>3866</v>
      </c>
      <c r="G419" s="35" t="s">
        <v>3867</v>
      </c>
      <c r="H419" s="35" t="s">
        <v>3869</v>
      </c>
      <c r="I419" s="35" t="s">
        <v>3870</v>
      </c>
      <c r="J419" s="35" t="s">
        <v>35</v>
      </c>
      <c r="M419" s="35" t="s">
        <v>83</v>
      </c>
      <c r="N419" s="35" t="s">
        <v>3871</v>
      </c>
      <c r="O419" s="35" t="s">
        <v>26</v>
      </c>
    </row>
    <row r="420" spans="1:15" ht="13">
      <c r="A420" s="33">
        <v>43930.074459710653</v>
      </c>
      <c r="B420" s="35" t="s">
        <v>5461</v>
      </c>
      <c r="C420" s="35" t="s">
        <v>5462</v>
      </c>
      <c r="D420" s="35" t="s">
        <v>5063</v>
      </c>
      <c r="E420" s="38" t="s">
        <v>5463</v>
      </c>
      <c r="F420" s="35" t="s">
        <v>5464</v>
      </c>
      <c r="G420" s="35" t="s">
        <v>102</v>
      </c>
      <c r="H420" s="35" t="s">
        <v>33</v>
      </c>
      <c r="I420" s="35" t="s">
        <v>5465</v>
      </c>
      <c r="J420" s="35" t="s">
        <v>35</v>
      </c>
      <c r="K420" s="328" t="s">
        <v>5466</v>
      </c>
      <c r="L420" s="328" t="s">
        <v>5467</v>
      </c>
      <c r="M420" s="35" t="s">
        <v>83</v>
      </c>
      <c r="O420" s="35" t="s">
        <v>26</v>
      </c>
    </row>
    <row r="421" spans="1:15" ht="13">
      <c r="A421" s="33">
        <v>43930.102748541671</v>
      </c>
      <c r="B421" s="35" t="s">
        <v>8588</v>
      </c>
      <c r="C421" s="35" t="s">
        <v>5462</v>
      </c>
      <c r="D421" s="35" t="s">
        <v>5063</v>
      </c>
      <c r="E421" s="38" t="s">
        <v>8589</v>
      </c>
      <c r="F421" s="327"/>
      <c r="G421" s="35" t="s">
        <v>63</v>
      </c>
      <c r="H421" s="35" t="s">
        <v>33</v>
      </c>
      <c r="I421" s="35" t="s">
        <v>662</v>
      </c>
      <c r="J421" s="35" t="s">
        <v>48</v>
      </c>
      <c r="M421" s="35" t="s">
        <v>83</v>
      </c>
      <c r="N421" s="327"/>
      <c r="O421" s="35" t="s">
        <v>26</v>
      </c>
    </row>
    <row r="422" spans="1:15" ht="13">
      <c r="A422" s="33">
        <v>43930.106466261575</v>
      </c>
      <c r="B422" s="35" t="s">
        <v>7222</v>
      </c>
      <c r="C422" s="35" t="s">
        <v>7223</v>
      </c>
      <c r="D422" s="35" t="s">
        <v>7224</v>
      </c>
      <c r="E422" s="38" t="s">
        <v>7225</v>
      </c>
      <c r="F422" s="327"/>
      <c r="G422" s="35" t="s">
        <v>7230</v>
      </c>
      <c r="H422" s="35" t="s">
        <v>33</v>
      </c>
      <c r="I422" s="35" t="s">
        <v>7231</v>
      </c>
      <c r="J422" s="35" t="s">
        <v>81</v>
      </c>
      <c r="K422" s="328" t="s">
        <v>7232</v>
      </c>
      <c r="L422" s="328" t="s">
        <v>7233</v>
      </c>
      <c r="M422" s="35" t="s">
        <v>83</v>
      </c>
      <c r="N422" s="328" t="s">
        <v>7234</v>
      </c>
      <c r="O422" s="35" t="s">
        <v>26</v>
      </c>
    </row>
    <row r="423" spans="1:15" ht="13" hidden="1">
      <c r="A423" s="33">
        <v>43930.118055231476</v>
      </c>
      <c r="B423" s="35" t="s">
        <v>3892</v>
      </c>
      <c r="C423" s="35" t="s">
        <v>3893</v>
      </c>
      <c r="D423" s="35" t="s">
        <v>3894</v>
      </c>
      <c r="E423" s="38" t="s">
        <v>3895</v>
      </c>
      <c r="F423" s="35" t="s">
        <v>3899</v>
      </c>
      <c r="G423" s="35" t="s">
        <v>394</v>
      </c>
      <c r="H423" s="35" t="s">
        <v>506</v>
      </c>
      <c r="I423" s="35" t="s">
        <v>3900</v>
      </c>
      <c r="J423" s="35" t="s">
        <v>48</v>
      </c>
      <c r="K423" s="35" t="s">
        <v>3901</v>
      </c>
      <c r="M423" s="35" t="s">
        <v>83</v>
      </c>
      <c r="O423" s="35" t="s">
        <v>26</v>
      </c>
    </row>
    <row r="424" spans="1:15" ht="13">
      <c r="A424" s="33">
        <v>43930.118892025464</v>
      </c>
      <c r="B424" s="35" t="s">
        <v>4055</v>
      </c>
      <c r="C424" s="35" t="s">
        <v>4056</v>
      </c>
      <c r="D424" s="35" t="s">
        <v>1153</v>
      </c>
      <c r="E424" s="328" t="s">
        <v>4057</v>
      </c>
      <c r="F424" s="35" t="s">
        <v>4058</v>
      </c>
      <c r="G424" s="35" t="s">
        <v>1615</v>
      </c>
      <c r="H424" s="35" t="s">
        <v>33</v>
      </c>
      <c r="I424" s="35" t="s">
        <v>4059</v>
      </c>
      <c r="J424" s="35" t="s">
        <v>104</v>
      </c>
      <c r="K424" s="328" t="s">
        <v>4060</v>
      </c>
      <c r="L424" s="327"/>
      <c r="M424" s="35" t="s">
        <v>83</v>
      </c>
      <c r="N424" s="328" t="s">
        <v>4061</v>
      </c>
      <c r="O424" s="35" t="s">
        <v>26</v>
      </c>
    </row>
    <row r="425" spans="1:15" ht="13" hidden="1">
      <c r="A425" s="33">
        <v>43930.144945219909</v>
      </c>
      <c r="B425" s="35" t="s">
        <v>3908</v>
      </c>
      <c r="C425" s="35" t="s">
        <v>3909</v>
      </c>
      <c r="D425" s="38" t="s">
        <v>3567</v>
      </c>
      <c r="E425" s="35" t="s">
        <v>3912</v>
      </c>
      <c r="F425" s="35" t="s">
        <v>3914</v>
      </c>
      <c r="G425" s="35" t="s">
        <v>505</v>
      </c>
      <c r="H425" s="35" t="s">
        <v>46</v>
      </c>
      <c r="I425" s="35" t="s">
        <v>3916</v>
      </c>
      <c r="J425" s="35" t="s">
        <v>48</v>
      </c>
      <c r="M425" s="35" t="s">
        <v>83</v>
      </c>
      <c r="O425" s="35" t="s">
        <v>26</v>
      </c>
    </row>
    <row r="426" spans="1:15" ht="13" hidden="1">
      <c r="A426" s="33">
        <v>43930.175444942128</v>
      </c>
      <c r="B426" s="35" t="s">
        <v>3918</v>
      </c>
      <c r="C426" s="35" t="s">
        <v>3919</v>
      </c>
      <c r="D426" s="35" t="s">
        <v>3920</v>
      </c>
      <c r="E426" s="38" t="s">
        <v>3921</v>
      </c>
      <c r="F426" s="35" t="s">
        <v>3922</v>
      </c>
      <c r="G426" s="35" t="s">
        <v>3923</v>
      </c>
      <c r="H426" s="35" t="s">
        <v>506</v>
      </c>
      <c r="I426" s="35" t="s">
        <v>3924</v>
      </c>
      <c r="J426" s="35" t="s">
        <v>48</v>
      </c>
      <c r="K426" s="35" t="s">
        <v>3925</v>
      </c>
      <c r="L426" s="35" t="s">
        <v>3926</v>
      </c>
      <c r="M426" s="35" t="s">
        <v>83</v>
      </c>
      <c r="N426" s="35" t="s">
        <v>3927</v>
      </c>
      <c r="O426" s="35" t="s">
        <v>26</v>
      </c>
    </row>
    <row r="427" spans="1:15" ht="13">
      <c r="A427" s="33">
        <v>43930.191776504631</v>
      </c>
      <c r="B427" s="35" t="s">
        <v>1266</v>
      </c>
      <c r="C427" s="35" t="s">
        <v>1267</v>
      </c>
      <c r="D427" s="35" t="s">
        <v>1268</v>
      </c>
      <c r="E427" s="38" t="s">
        <v>1269</v>
      </c>
      <c r="F427" s="35" t="s">
        <v>1270</v>
      </c>
      <c r="G427" s="35" t="s">
        <v>214</v>
      </c>
      <c r="H427" s="35" t="s">
        <v>33</v>
      </c>
      <c r="I427" s="35" t="s">
        <v>1271</v>
      </c>
      <c r="J427" s="35" t="s">
        <v>48</v>
      </c>
      <c r="K427" s="327"/>
      <c r="L427" s="327"/>
      <c r="M427" s="35" t="s">
        <v>67</v>
      </c>
      <c r="O427" s="35" t="s">
        <v>26</v>
      </c>
    </row>
    <row r="428" spans="1:15" ht="13">
      <c r="A428" s="33">
        <v>43930.209885844903</v>
      </c>
      <c r="B428" s="35" t="s">
        <v>2235</v>
      </c>
      <c r="C428" s="35" t="s">
        <v>1267</v>
      </c>
      <c r="D428" s="35" t="s">
        <v>1153</v>
      </c>
      <c r="E428" s="38" t="s">
        <v>2236</v>
      </c>
      <c r="F428" s="35" t="s">
        <v>2240</v>
      </c>
      <c r="G428" s="35" t="s">
        <v>214</v>
      </c>
      <c r="H428" s="35" t="s">
        <v>33</v>
      </c>
      <c r="I428" s="35" t="s">
        <v>2242</v>
      </c>
      <c r="J428" s="35" t="s">
        <v>48</v>
      </c>
      <c r="K428" s="328" t="s">
        <v>2243</v>
      </c>
      <c r="L428" s="35" t="s">
        <v>2244</v>
      </c>
      <c r="M428" s="35" t="s">
        <v>83</v>
      </c>
      <c r="O428" s="35" t="s">
        <v>26</v>
      </c>
    </row>
    <row r="429" spans="1:15" ht="13" hidden="1">
      <c r="A429" s="33">
        <v>43930.223043784717</v>
      </c>
      <c r="B429" s="35" t="s">
        <v>3941</v>
      </c>
      <c r="C429" s="35" t="s">
        <v>3746</v>
      </c>
      <c r="D429" s="35" t="s">
        <v>1240</v>
      </c>
      <c r="E429" s="38" t="s">
        <v>3942</v>
      </c>
      <c r="F429" s="35" t="s">
        <v>3946</v>
      </c>
      <c r="G429" s="35" t="s">
        <v>702</v>
      </c>
      <c r="H429" s="35" t="s">
        <v>46</v>
      </c>
      <c r="I429" s="35" t="s">
        <v>3870</v>
      </c>
      <c r="J429" s="35" t="s">
        <v>48</v>
      </c>
      <c r="K429" s="35" t="s">
        <v>3947</v>
      </c>
      <c r="L429" s="35" t="s">
        <v>3948</v>
      </c>
      <c r="M429" s="35" t="s">
        <v>67</v>
      </c>
      <c r="O429" s="35" t="s">
        <v>26</v>
      </c>
    </row>
    <row r="430" spans="1:15" ht="13">
      <c r="A430" s="33">
        <v>43930.223941030097</v>
      </c>
      <c r="B430" s="35" t="s">
        <v>5061</v>
      </c>
      <c r="C430" s="35" t="s">
        <v>1267</v>
      </c>
      <c r="D430" s="35" t="s">
        <v>5063</v>
      </c>
      <c r="E430" s="38" t="s">
        <v>5064</v>
      </c>
      <c r="F430" s="35" t="s">
        <v>5067</v>
      </c>
      <c r="G430" s="35" t="s">
        <v>214</v>
      </c>
      <c r="H430" s="35" t="s">
        <v>33</v>
      </c>
      <c r="I430" s="35" t="s">
        <v>5068</v>
      </c>
      <c r="J430" s="35" t="s">
        <v>48</v>
      </c>
      <c r="K430" s="328" t="s">
        <v>5069</v>
      </c>
      <c r="L430" s="328" t="s">
        <v>5070</v>
      </c>
      <c r="M430" s="35" t="s">
        <v>83</v>
      </c>
      <c r="O430" s="35" t="s">
        <v>26</v>
      </c>
    </row>
    <row r="431" spans="1:15" ht="13">
      <c r="A431" s="33">
        <v>43930.24387637731</v>
      </c>
      <c r="B431" s="35" t="s">
        <v>5071</v>
      </c>
      <c r="C431" s="35" t="s">
        <v>1267</v>
      </c>
      <c r="D431" s="328" t="s">
        <v>5063</v>
      </c>
      <c r="E431" s="38" t="s">
        <v>5072</v>
      </c>
      <c r="F431" s="35" t="s">
        <v>5077</v>
      </c>
      <c r="G431" s="35" t="s">
        <v>5078</v>
      </c>
      <c r="H431" s="35" t="s">
        <v>33</v>
      </c>
      <c r="I431" s="35" t="s">
        <v>5079</v>
      </c>
      <c r="J431" s="35" t="s">
        <v>48</v>
      </c>
      <c r="K431" s="327"/>
      <c r="L431" s="327"/>
      <c r="M431" s="35" t="s">
        <v>67</v>
      </c>
      <c r="N431" s="327"/>
      <c r="O431" s="35" t="s">
        <v>26</v>
      </c>
    </row>
    <row r="432" spans="1:15" ht="13" hidden="1">
      <c r="A432" s="33">
        <v>43930.247890381943</v>
      </c>
      <c r="B432" s="35" t="s">
        <v>3968</v>
      </c>
      <c r="C432" s="35" t="s">
        <v>3969</v>
      </c>
      <c r="D432" s="35" t="s">
        <v>87</v>
      </c>
      <c r="E432" s="38" t="s">
        <v>3970</v>
      </c>
      <c r="F432" s="35" t="s">
        <v>3971</v>
      </c>
      <c r="G432" s="35" t="s">
        <v>3972</v>
      </c>
      <c r="H432" s="35" t="s">
        <v>46</v>
      </c>
      <c r="I432" s="35" t="s">
        <v>3973</v>
      </c>
      <c r="J432" s="35" t="s">
        <v>81</v>
      </c>
      <c r="M432" s="35" t="s">
        <v>83</v>
      </c>
      <c r="N432" s="35" t="s">
        <v>3974</v>
      </c>
      <c r="O432" s="35" t="s">
        <v>26</v>
      </c>
    </row>
    <row r="433" spans="1:15" ht="13" hidden="1">
      <c r="A433" s="33">
        <v>43930.345139108795</v>
      </c>
      <c r="B433" s="35" t="s">
        <v>3975</v>
      </c>
      <c r="C433" s="35" t="s">
        <v>3976</v>
      </c>
      <c r="D433" s="35" t="s">
        <v>3977</v>
      </c>
      <c r="E433" s="38" t="s">
        <v>3978</v>
      </c>
      <c r="F433" s="35" t="s">
        <v>3981</v>
      </c>
      <c r="G433" s="35" t="s">
        <v>242</v>
      </c>
      <c r="H433" s="35" t="s">
        <v>506</v>
      </c>
      <c r="I433" s="35" t="s">
        <v>3982</v>
      </c>
      <c r="J433" s="35" t="s">
        <v>35</v>
      </c>
      <c r="K433" s="35" t="s">
        <v>3983</v>
      </c>
      <c r="M433" s="35" t="s">
        <v>83</v>
      </c>
      <c r="O433" s="35" t="s">
        <v>26</v>
      </c>
    </row>
    <row r="434" spans="1:15" ht="13" hidden="1">
      <c r="A434" s="33">
        <v>43930.393902037038</v>
      </c>
      <c r="B434" s="35" t="s">
        <v>3984</v>
      </c>
      <c r="C434" s="35" t="s">
        <v>3985</v>
      </c>
      <c r="D434" s="35" t="s">
        <v>2604</v>
      </c>
      <c r="E434" s="38" t="s">
        <v>3986</v>
      </c>
      <c r="F434" s="35" t="s">
        <v>3987</v>
      </c>
      <c r="G434" s="35" t="s">
        <v>363</v>
      </c>
      <c r="H434" s="35" t="s">
        <v>46</v>
      </c>
      <c r="I434" s="35" t="s">
        <v>15</v>
      </c>
      <c r="J434" s="35" t="s">
        <v>35</v>
      </c>
      <c r="K434" s="35" t="s">
        <v>3989</v>
      </c>
      <c r="M434" s="35" t="s">
        <v>83</v>
      </c>
      <c r="N434" s="35" t="s">
        <v>3991</v>
      </c>
      <c r="O434" s="35" t="s">
        <v>26</v>
      </c>
    </row>
    <row r="435" spans="1:15" ht="13">
      <c r="A435" s="33">
        <v>43930.393901967589</v>
      </c>
      <c r="B435" s="35" t="s">
        <v>5107</v>
      </c>
      <c r="C435" s="35" t="s">
        <v>1267</v>
      </c>
      <c r="D435" s="328" t="s">
        <v>5063</v>
      </c>
      <c r="E435" s="38" t="s">
        <v>5108</v>
      </c>
      <c r="F435" s="35" t="s">
        <v>5110</v>
      </c>
      <c r="G435" s="35" t="s">
        <v>5111</v>
      </c>
      <c r="H435" s="35" t="s">
        <v>33</v>
      </c>
      <c r="I435" s="35" t="s">
        <v>5112</v>
      </c>
      <c r="J435" s="35" t="s">
        <v>48</v>
      </c>
      <c r="K435" s="328" t="s">
        <v>5113</v>
      </c>
      <c r="M435" s="35" t="s">
        <v>83</v>
      </c>
      <c r="N435" s="327"/>
      <c r="O435" s="35" t="s">
        <v>26</v>
      </c>
    </row>
    <row r="436" spans="1:15" ht="13" hidden="1">
      <c r="A436" s="33">
        <v>43930.403113020831</v>
      </c>
      <c r="B436" s="35" t="s">
        <v>3565</v>
      </c>
      <c r="C436" s="35" t="s">
        <v>3999</v>
      </c>
      <c r="D436" s="38" t="s">
        <v>3567</v>
      </c>
      <c r="E436" s="38" t="s">
        <v>4000</v>
      </c>
      <c r="F436" s="35" t="s">
        <v>3571</v>
      </c>
      <c r="G436" s="35" t="s">
        <v>242</v>
      </c>
      <c r="H436" s="35" t="s">
        <v>46</v>
      </c>
      <c r="I436" s="35" t="s">
        <v>4003</v>
      </c>
      <c r="J436" s="35" t="s">
        <v>104</v>
      </c>
      <c r="M436" s="35" t="s">
        <v>83</v>
      </c>
      <c r="N436" s="35" t="s">
        <v>3573</v>
      </c>
      <c r="O436" s="35" t="s">
        <v>26</v>
      </c>
    </row>
    <row r="437" spans="1:15" ht="13">
      <c r="A437" s="33">
        <v>43930.403177881948</v>
      </c>
      <c r="B437" s="328" t="s">
        <v>6101</v>
      </c>
      <c r="C437" s="328" t="s">
        <v>1267</v>
      </c>
      <c r="D437" s="328" t="s">
        <v>5063</v>
      </c>
      <c r="E437" s="38" t="s">
        <v>6102</v>
      </c>
      <c r="F437" s="328" t="s">
        <v>6108</v>
      </c>
      <c r="G437" s="328" t="s">
        <v>214</v>
      </c>
      <c r="H437" s="328" t="s">
        <v>33</v>
      </c>
      <c r="I437" s="328" t="s">
        <v>6109</v>
      </c>
      <c r="J437" s="328" t="s">
        <v>48</v>
      </c>
      <c r="K437" s="328" t="s">
        <v>6110</v>
      </c>
      <c r="L437" s="328" t="s">
        <v>6111</v>
      </c>
      <c r="M437" s="328" t="s">
        <v>83</v>
      </c>
      <c r="N437" s="328" t="s">
        <v>6112</v>
      </c>
      <c r="O437" s="35" t="s">
        <v>26</v>
      </c>
    </row>
    <row r="438" spans="1:15" ht="13" hidden="1">
      <c r="A438" s="33">
        <v>43930.445810428238</v>
      </c>
      <c r="B438" s="35" t="s">
        <v>4010</v>
      </c>
      <c r="C438" s="35" t="s">
        <v>4011</v>
      </c>
      <c r="D438" s="35" t="s">
        <v>4012</v>
      </c>
      <c r="E438" s="38" t="s">
        <v>4013</v>
      </c>
      <c r="F438" s="35" t="s">
        <v>4017</v>
      </c>
      <c r="G438" s="35" t="s">
        <v>296</v>
      </c>
      <c r="H438" s="35" t="s">
        <v>506</v>
      </c>
      <c r="I438" s="35" t="s">
        <v>4019</v>
      </c>
      <c r="J438" s="35" t="s">
        <v>48</v>
      </c>
      <c r="K438" s="35" t="s">
        <v>4020</v>
      </c>
      <c r="M438" s="35" t="s">
        <v>83</v>
      </c>
      <c r="N438" s="35" t="s">
        <v>4022</v>
      </c>
      <c r="O438" s="35" t="s">
        <v>26</v>
      </c>
    </row>
    <row r="439" spans="1:15" ht="13">
      <c r="A439" s="33">
        <v>43930.467439872686</v>
      </c>
      <c r="B439" s="35" t="s">
        <v>6630</v>
      </c>
      <c r="C439" s="35" t="s">
        <v>1267</v>
      </c>
      <c r="D439" s="38" t="s">
        <v>6631</v>
      </c>
      <c r="E439" s="38" t="s">
        <v>6632</v>
      </c>
      <c r="F439" s="35" t="s">
        <v>6634</v>
      </c>
      <c r="G439" s="35" t="s">
        <v>2940</v>
      </c>
      <c r="H439" s="35" t="s">
        <v>33</v>
      </c>
      <c r="I439" s="35" t="s">
        <v>6636</v>
      </c>
      <c r="J439" s="35" t="s">
        <v>104</v>
      </c>
      <c r="L439" s="327"/>
      <c r="M439" s="35" t="s">
        <v>83</v>
      </c>
      <c r="N439" s="327"/>
      <c r="O439" s="35" t="s">
        <v>26</v>
      </c>
    </row>
    <row r="440" spans="1:15" ht="13">
      <c r="A440" s="33">
        <v>43930.497444942128</v>
      </c>
      <c r="B440" s="35" t="s">
        <v>7242</v>
      </c>
      <c r="C440" s="35" t="s">
        <v>1267</v>
      </c>
      <c r="D440" s="35" t="s">
        <v>7243</v>
      </c>
      <c r="E440" s="38" t="s">
        <v>7244</v>
      </c>
      <c r="F440" s="327"/>
      <c r="G440" s="35" t="s">
        <v>214</v>
      </c>
      <c r="H440" s="35" t="s">
        <v>33</v>
      </c>
      <c r="I440" s="35" t="s">
        <v>3324</v>
      </c>
      <c r="J440" s="35" t="s">
        <v>48</v>
      </c>
      <c r="K440" s="327"/>
      <c r="L440" s="327"/>
      <c r="M440" s="35" t="s">
        <v>67</v>
      </c>
      <c r="O440" s="35" t="s">
        <v>26</v>
      </c>
    </row>
    <row r="441" spans="1:15" ht="13" hidden="1">
      <c r="A441" s="33">
        <v>43930.769274999999</v>
      </c>
      <c r="B441" s="35" t="s">
        <v>4037</v>
      </c>
      <c r="C441" s="35" t="s">
        <v>4038</v>
      </c>
      <c r="D441" s="35" t="s">
        <v>4039</v>
      </c>
      <c r="E441" s="38" t="s">
        <v>4040</v>
      </c>
      <c r="F441" s="35" t="s">
        <v>4041</v>
      </c>
      <c r="G441" s="35" t="s">
        <v>1615</v>
      </c>
      <c r="H441" s="35" t="s">
        <v>4042</v>
      </c>
      <c r="I441" s="35" t="s">
        <v>4043</v>
      </c>
      <c r="J441" s="35" t="s">
        <v>746</v>
      </c>
      <c r="K441" s="35" t="s">
        <v>4044</v>
      </c>
      <c r="L441" s="35" t="s">
        <v>4046</v>
      </c>
      <c r="M441" s="35" t="s">
        <v>83</v>
      </c>
      <c r="N441" s="35" t="s">
        <v>989</v>
      </c>
      <c r="O441" s="35" t="s">
        <v>26</v>
      </c>
    </row>
    <row r="442" spans="1:15" ht="13" hidden="1">
      <c r="A442" s="33">
        <v>43930.826118622688</v>
      </c>
      <c r="B442" s="35" t="s">
        <v>4049</v>
      </c>
      <c r="C442" s="35" t="s">
        <v>4050</v>
      </c>
      <c r="D442" s="35" t="s">
        <v>1153</v>
      </c>
      <c r="E442" s="38" t="s">
        <v>4051</v>
      </c>
      <c r="F442" s="35" t="s">
        <v>4052</v>
      </c>
      <c r="G442" s="35" t="s">
        <v>150</v>
      </c>
      <c r="H442" s="35" t="s">
        <v>46</v>
      </c>
      <c r="I442" s="35" t="s">
        <v>3324</v>
      </c>
      <c r="J442" s="35" t="s">
        <v>48</v>
      </c>
      <c r="M442" s="35" t="s">
        <v>67</v>
      </c>
      <c r="N442" s="35" t="s">
        <v>92</v>
      </c>
      <c r="O442" s="35" t="s">
        <v>26</v>
      </c>
    </row>
    <row r="443" spans="1:15" ht="13">
      <c r="A443" s="33">
        <v>43930.838073842591</v>
      </c>
      <c r="B443" s="35" t="s">
        <v>7412</v>
      </c>
      <c r="C443" s="35" t="s">
        <v>1267</v>
      </c>
      <c r="D443" s="35" t="s">
        <v>7413</v>
      </c>
      <c r="E443" s="38" t="s">
        <v>7414</v>
      </c>
      <c r="F443" s="327"/>
      <c r="G443" s="35" t="s">
        <v>7415</v>
      </c>
      <c r="H443" s="35" t="s">
        <v>33</v>
      </c>
      <c r="I443" s="328" t="s">
        <v>7416</v>
      </c>
      <c r="J443" s="328" t="s">
        <v>104</v>
      </c>
      <c r="K443" s="328" t="s">
        <v>7417</v>
      </c>
      <c r="M443" s="328" t="s">
        <v>67</v>
      </c>
      <c r="N443" s="327"/>
      <c r="O443" s="35" t="s">
        <v>26</v>
      </c>
    </row>
    <row r="444" spans="1:15" ht="13" hidden="1">
      <c r="A444" s="33">
        <v>43930.888494062499</v>
      </c>
      <c r="B444" s="35" t="s">
        <v>4062</v>
      </c>
      <c r="C444" s="35" t="s">
        <v>875</v>
      </c>
      <c r="D444" s="35" t="s">
        <v>4063</v>
      </c>
      <c r="E444" s="38" t="s">
        <v>4064</v>
      </c>
      <c r="F444" s="35" t="s">
        <v>4068</v>
      </c>
      <c r="G444" s="35" t="s">
        <v>63</v>
      </c>
      <c r="H444" s="35" t="s">
        <v>506</v>
      </c>
      <c r="I444" s="35" t="s">
        <v>4069</v>
      </c>
      <c r="J444" s="35" t="s">
        <v>48</v>
      </c>
      <c r="K444" s="35" t="s">
        <v>4070</v>
      </c>
      <c r="L444" s="35" t="s">
        <v>4071</v>
      </c>
      <c r="M444" s="35" t="s">
        <v>83</v>
      </c>
      <c r="N444" s="35" t="s">
        <v>4072</v>
      </c>
      <c r="O444" s="35" t="s">
        <v>26</v>
      </c>
    </row>
    <row r="445" spans="1:15" ht="13" hidden="1">
      <c r="A445" s="33">
        <v>43930.88947263889</v>
      </c>
      <c r="B445" s="35" t="s">
        <v>4073</v>
      </c>
      <c r="C445" s="35" t="s">
        <v>4074</v>
      </c>
      <c r="D445" s="35" t="s">
        <v>4075</v>
      </c>
      <c r="E445" s="38" t="s">
        <v>4076</v>
      </c>
      <c r="F445" s="35" t="s">
        <v>4077</v>
      </c>
      <c r="G445" s="35" t="s">
        <v>4078</v>
      </c>
      <c r="H445" s="35" t="s">
        <v>506</v>
      </c>
      <c r="I445" s="35" t="s">
        <v>4080</v>
      </c>
      <c r="J445" s="35" t="s">
        <v>35</v>
      </c>
      <c r="M445" s="35" t="s">
        <v>67</v>
      </c>
      <c r="N445" s="35" t="s">
        <v>4082</v>
      </c>
      <c r="O445" s="35" t="s">
        <v>26</v>
      </c>
    </row>
    <row r="446" spans="1:15" ht="13" hidden="1">
      <c r="A446" s="33">
        <v>43930.899239259263</v>
      </c>
      <c r="B446" s="35" t="s">
        <v>4085</v>
      </c>
      <c r="C446" s="35" t="s">
        <v>4086</v>
      </c>
      <c r="D446" s="35" t="s">
        <v>4087</v>
      </c>
      <c r="E446" s="38" t="s">
        <v>4088</v>
      </c>
      <c r="F446" s="35" t="s">
        <v>4090</v>
      </c>
      <c r="G446" s="35" t="s">
        <v>4091</v>
      </c>
      <c r="H446" s="35" t="s">
        <v>46</v>
      </c>
      <c r="I446" s="35" t="s">
        <v>425</v>
      </c>
      <c r="J446" s="35" t="s">
        <v>104</v>
      </c>
      <c r="M446" s="35" t="s">
        <v>83</v>
      </c>
      <c r="N446" s="35" t="s">
        <v>92</v>
      </c>
      <c r="O446" s="35" t="s">
        <v>26</v>
      </c>
    </row>
    <row r="447" spans="1:15" ht="13">
      <c r="A447" s="33">
        <v>43930.941168865742</v>
      </c>
      <c r="B447" s="35" t="s">
        <v>9427</v>
      </c>
      <c r="C447" s="35" t="s">
        <v>1267</v>
      </c>
      <c r="D447" s="35" t="s">
        <v>2380</v>
      </c>
      <c r="E447" s="304" t="s">
        <v>9428</v>
      </c>
      <c r="F447" s="35" t="s">
        <v>9429</v>
      </c>
      <c r="G447" s="35" t="s">
        <v>5574</v>
      </c>
      <c r="H447" s="35" t="s">
        <v>33</v>
      </c>
      <c r="I447" s="319" t="s">
        <v>9423</v>
      </c>
      <c r="J447" s="327"/>
      <c r="K447" s="327"/>
      <c r="M447" s="327"/>
      <c r="O447" s="35" t="s">
        <v>26</v>
      </c>
    </row>
    <row r="448" spans="1:15" ht="13" hidden="1">
      <c r="A448" s="33">
        <v>43930.97001315972</v>
      </c>
      <c r="B448" s="35" t="s">
        <v>4097</v>
      </c>
      <c r="C448" s="35" t="s">
        <v>4098</v>
      </c>
      <c r="D448" s="35" t="s">
        <v>4100</v>
      </c>
      <c r="E448" s="38" t="s">
        <v>4101</v>
      </c>
      <c r="F448" s="35" t="s">
        <v>4102</v>
      </c>
      <c r="G448" s="35" t="s">
        <v>473</v>
      </c>
      <c r="H448" s="35" t="s">
        <v>506</v>
      </c>
      <c r="I448" s="35" t="s">
        <v>425</v>
      </c>
      <c r="J448" s="35" t="s">
        <v>48</v>
      </c>
      <c r="K448" s="35" t="s">
        <v>4103</v>
      </c>
      <c r="M448" s="35" t="s">
        <v>67</v>
      </c>
      <c r="O448" s="35" t="s">
        <v>26</v>
      </c>
    </row>
    <row r="449" spans="1:15" ht="13">
      <c r="A449" s="33">
        <v>43931.002772384258</v>
      </c>
      <c r="B449" s="35" t="s">
        <v>1926</v>
      </c>
      <c r="C449" s="35" t="s">
        <v>1927</v>
      </c>
      <c r="D449" s="35" t="s">
        <v>1153</v>
      </c>
      <c r="E449" s="38" t="s">
        <v>1928</v>
      </c>
      <c r="F449" s="328" t="s">
        <v>1929</v>
      </c>
      <c r="G449" s="35" t="s">
        <v>220</v>
      </c>
      <c r="H449" s="35" t="s">
        <v>33</v>
      </c>
      <c r="I449" s="35" t="s">
        <v>1930</v>
      </c>
      <c r="J449" s="35" t="s">
        <v>48</v>
      </c>
      <c r="K449" s="327"/>
      <c r="M449" s="35" t="s">
        <v>83</v>
      </c>
      <c r="O449" s="35" t="s">
        <v>26</v>
      </c>
    </row>
    <row r="450" spans="1:15" ht="13" hidden="1">
      <c r="A450" s="33">
        <v>43931.017667523149</v>
      </c>
      <c r="B450" s="35" t="s">
        <v>4111</v>
      </c>
      <c r="C450" s="35" t="s">
        <v>4112</v>
      </c>
      <c r="D450" s="35" t="s">
        <v>3977</v>
      </c>
      <c r="E450" s="35" t="s">
        <v>4111</v>
      </c>
      <c r="F450" s="35" t="s">
        <v>4113</v>
      </c>
      <c r="G450" s="35" t="s">
        <v>4114</v>
      </c>
      <c r="H450" s="35" t="s">
        <v>506</v>
      </c>
      <c r="I450" s="35" t="s">
        <v>4115</v>
      </c>
      <c r="J450" s="35" t="s">
        <v>48</v>
      </c>
      <c r="M450" s="35" t="s">
        <v>83</v>
      </c>
      <c r="O450" s="35" t="s">
        <v>26</v>
      </c>
    </row>
    <row r="451" spans="1:15" ht="13" hidden="1">
      <c r="A451" s="33">
        <v>43931.077205092588</v>
      </c>
      <c r="B451" s="35" t="s">
        <v>4116</v>
      </c>
      <c r="C451" s="35" t="s">
        <v>4117</v>
      </c>
      <c r="D451" s="35" t="s">
        <v>4118</v>
      </c>
      <c r="E451" s="35" t="s">
        <v>4119</v>
      </c>
      <c r="F451" s="35" t="s">
        <v>4120</v>
      </c>
      <c r="G451" s="35" t="s">
        <v>228</v>
      </c>
      <c r="H451" s="35" t="s">
        <v>46</v>
      </c>
      <c r="I451" s="35" t="s">
        <v>4121</v>
      </c>
      <c r="J451" s="35" t="s">
        <v>81</v>
      </c>
      <c r="M451" s="35" t="s">
        <v>83</v>
      </c>
      <c r="O451" s="35" t="s">
        <v>26</v>
      </c>
    </row>
    <row r="452" spans="1:15" ht="13" hidden="1">
      <c r="A452" s="33">
        <v>43931.135179039353</v>
      </c>
      <c r="B452" s="35" t="s">
        <v>4122</v>
      </c>
      <c r="C452" s="35" t="s">
        <v>4123</v>
      </c>
      <c r="D452" s="35" t="s">
        <v>4124</v>
      </c>
      <c r="E452" s="38" t="s">
        <v>4125</v>
      </c>
      <c r="F452" s="35" t="s">
        <v>4126</v>
      </c>
      <c r="G452" s="35" t="s">
        <v>4127</v>
      </c>
      <c r="H452" s="35" t="s">
        <v>46</v>
      </c>
      <c r="I452" s="35" t="s">
        <v>4128</v>
      </c>
      <c r="J452" s="35" t="s">
        <v>48</v>
      </c>
      <c r="K452" s="35" t="s">
        <v>4128</v>
      </c>
      <c r="M452" s="35" t="s">
        <v>83</v>
      </c>
      <c r="O452" s="35" t="s">
        <v>26</v>
      </c>
    </row>
    <row r="453" spans="1:15" ht="13" hidden="1">
      <c r="A453" s="33">
        <v>43931.149256469907</v>
      </c>
      <c r="B453" s="35" t="s">
        <v>4131</v>
      </c>
      <c r="C453" s="35" t="s">
        <v>4132</v>
      </c>
      <c r="D453" s="35" t="s">
        <v>4133</v>
      </c>
      <c r="E453" s="38" t="s">
        <v>4135</v>
      </c>
      <c r="F453" s="35" t="s">
        <v>4136</v>
      </c>
      <c r="G453" s="35" t="s">
        <v>322</v>
      </c>
      <c r="H453" s="35" t="s">
        <v>506</v>
      </c>
      <c r="I453" s="35" t="s">
        <v>4137</v>
      </c>
      <c r="J453" s="35" t="s">
        <v>104</v>
      </c>
      <c r="K453" s="35" t="s">
        <v>4138</v>
      </c>
      <c r="M453" s="35" t="s">
        <v>83</v>
      </c>
      <c r="N453" s="35" t="s">
        <v>4139</v>
      </c>
      <c r="O453" s="35" t="s">
        <v>26</v>
      </c>
    </row>
    <row r="454" spans="1:15" ht="13" hidden="1">
      <c r="A454" s="33">
        <v>43931.203740821758</v>
      </c>
      <c r="B454" s="35" t="s">
        <v>4140</v>
      </c>
      <c r="C454" s="35" t="s">
        <v>4141</v>
      </c>
      <c r="D454" s="35" t="s">
        <v>4142</v>
      </c>
      <c r="E454" s="38" t="s">
        <v>4143</v>
      </c>
      <c r="F454" s="35" t="s">
        <v>4144</v>
      </c>
      <c r="G454" s="35" t="s">
        <v>739</v>
      </c>
      <c r="H454" s="35" t="s">
        <v>126</v>
      </c>
      <c r="I454" s="35" t="s">
        <v>3324</v>
      </c>
      <c r="J454" s="35" t="s">
        <v>104</v>
      </c>
      <c r="M454" s="35" t="s">
        <v>83</v>
      </c>
      <c r="N454" s="35" t="s">
        <v>4072</v>
      </c>
      <c r="O454" s="35" t="s">
        <v>26</v>
      </c>
    </row>
    <row r="455" spans="1:15" ht="13" hidden="1">
      <c r="A455" s="33">
        <v>43931.257650960644</v>
      </c>
      <c r="B455" s="35" t="s">
        <v>4148</v>
      </c>
      <c r="C455" s="35" t="s">
        <v>4149</v>
      </c>
      <c r="D455" s="35" t="s">
        <v>4150</v>
      </c>
      <c r="E455" s="38" t="s">
        <v>4151</v>
      </c>
      <c r="F455" s="35" t="s">
        <v>4152</v>
      </c>
      <c r="G455" s="35" t="s">
        <v>363</v>
      </c>
      <c r="H455" s="35" t="s">
        <v>46</v>
      </c>
      <c r="I455" s="35" t="s">
        <v>4153</v>
      </c>
      <c r="J455" s="35" t="s">
        <v>48</v>
      </c>
      <c r="K455" s="35" t="s">
        <v>4154</v>
      </c>
      <c r="M455" s="35" t="s">
        <v>83</v>
      </c>
      <c r="N455" s="35" t="s">
        <v>4155</v>
      </c>
      <c r="O455" s="35" t="s">
        <v>26</v>
      </c>
    </row>
    <row r="456" spans="1:15" ht="13" hidden="1">
      <c r="A456" s="33">
        <v>43931.30091351852</v>
      </c>
      <c r="B456" s="35" t="s">
        <v>4156</v>
      </c>
      <c r="C456" s="35" t="s">
        <v>4157</v>
      </c>
      <c r="D456" s="35" t="s">
        <v>4158</v>
      </c>
      <c r="E456" s="38" t="s">
        <v>4159</v>
      </c>
      <c r="F456" s="35" t="s">
        <v>4160</v>
      </c>
      <c r="G456" s="35" t="s">
        <v>161</v>
      </c>
      <c r="H456" s="35" t="s">
        <v>4161</v>
      </c>
      <c r="I456" s="35" t="s">
        <v>4162</v>
      </c>
      <c r="J456" s="35" t="s">
        <v>81</v>
      </c>
      <c r="L456" s="35" t="s">
        <v>4163</v>
      </c>
      <c r="M456" s="35" t="s">
        <v>83</v>
      </c>
      <c r="O456" s="35" t="s">
        <v>26</v>
      </c>
    </row>
    <row r="457" spans="1:15" ht="13">
      <c r="A457" s="33">
        <v>43931.31829127315</v>
      </c>
      <c r="B457" s="35" t="s">
        <v>5538</v>
      </c>
      <c r="C457" s="35" t="s">
        <v>1927</v>
      </c>
      <c r="D457" s="328" t="s">
        <v>5063</v>
      </c>
      <c r="E457" s="38" t="s">
        <v>5539</v>
      </c>
      <c r="F457" s="35" t="s">
        <v>5541</v>
      </c>
      <c r="G457" s="35" t="s">
        <v>214</v>
      </c>
      <c r="H457" s="35" t="s">
        <v>33</v>
      </c>
      <c r="I457" s="35" t="s">
        <v>5542</v>
      </c>
      <c r="J457" s="35" t="s">
        <v>48</v>
      </c>
      <c r="K457" s="327"/>
      <c r="M457" s="35" t="s">
        <v>83</v>
      </c>
      <c r="N457" s="327"/>
      <c r="O457" s="35" t="s">
        <v>26</v>
      </c>
    </row>
    <row r="458" spans="1:15" ht="13">
      <c r="A458" s="33">
        <v>43931.34435039352</v>
      </c>
      <c r="B458" s="328" t="s">
        <v>2642</v>
      </c>
      <c r="C458" s="328" t="s">
        <v>2643</v>
      </c>
      <c r="D458" s="328" t="s">
        <v>1153</v>
      </c>
      <c r="E458" s="38" t="s">
        <v>2644</v>
      </c>
      <c r="F458" s="328" t="s">
        <v>2647</v>
      </c>
      <c r="G458" s="328" t="s">
        <v>709</v>
      </c>
      <c r="H458" s="328" t="s">
        <v>33</v>
      </c>
      <c r="I458" s="328" t="s">
        <v>2649</v>
      </c>
      <c r="J458" s="328" t="s">
        <v>48</v>
      </c>
      <c r="K458" s="327"/>
      <c r="L458" s="327"/>
      <c r="M458" s="328" t="s">
        <v>83</v>
      </c>
      <c r="N458" s="328" t="s">
        <v>2651</v>
      </c>
      <c r="O458" s="35" t="s">
        <v>26</v>
      </c>
    </row>
    <row r="459" spans="1:15" ht="13" hidden="1">
      <c r="A459" s="33">
        <v>43931.371709699073</v>
      </c>
      <c r="B459" s="35" t="s">
        <v>4182</v>
      </c>
      <c r="C459" s="35" t="s">
        <v>4184</v>
      </c>
      <c r="D459" s="35" t="s">
        <v>4185</v>
      </c>
      <c r="E459" s="38" t="s">
        <v>4186</v>
      </c>
      <c r="F459" s="35" t="s">
        <v>4187</v>
      </c>
      <c r="G459" s="35" t="s">
        <v>32</v>
      </c>
      <c r="H459" s="35" t="s">
        <v>1483</v>
      </c>
      <c r="I459" s="35" t="s">
        <v>4189</v>
      </c>
      <c r="J459" s="35" t="s">
        <v>48</v>
      </c>
      <c r="M459" s="35" t="s">
        <v>83</v>
      </c>
      <c r="N459" s="35" t="s">
        <v>4190</v>
      </c>
      <c r="O459" s="35" t="s">
        <v>26</v>
      </c>
    </row>
    <row r="460" spans="1:15" ht="13" hidden="1">
      <c r="A460" s="33">
        <v>43931.790184317128</v>
      </c>
      <c r="B460" s="35" t="s">
        <v>4191</v>
      </c>
      <c r="C460" s="35" t="s">
        <v>234</v>
      </c>
      <c r="D460" s="35" t="s">
        <v>4192</v>
      </c>
      <c r="E460" s="38" t="s">
        <v>4193</v>
      </c>
      <c r="F460" s="35" t="s">
        <v>4194</v>
      </c>
      <c r="G460" s="35" t="s">
        <v>45</v>
      </c>
      <c r="H460" s="35" t="s">
        <v>46</v>
      </c>
      <c r="I460" s="35" t="s">
        <v>4195</v>
      </c>
      <c r="J460" s="35" t="s">
        <v>81</v>
      </c>
      <c r="K460" s="35" t="s">
        <v>4196</v>
      </c>
      <c r="L460" s="35" t="s">
        <v>4197</v>
      </c>
      <c r="M460" s="35" t="s">
        <v>67</v>
      </c>
      <c r="N460" s="35" t="s">
        <v>304</v>
      </c>
      <c r="O460" s="35" t="s">
        <v>26</v>
      </c>
    </row>
    <row r="461" spans="1:15" ht="13">
      <c r="A461" s="33">
        <v>43931.910958680557</v>
      </c>
      <c r="B461" s="35" t="s">
        <v>5335</v>
      </c>
      <c r="C461" s="35" t="s">
        <v>5336</v>
      </c>
      <c r="D461" s="35" t="s">
        <v>5337</v>
      </c>
      <c r="E461" s="38" t="s">
        <v>5338</v>
      </c>
      <c r="F461" s="35" t="s">
        <v>5340</v>
      </c>
      <c r="G461" s="35" t="s">
        <v>4453</v>
      </c>
      <c r="H461" s="35" t="s">
        <v>33</v>
      </c>
      <c r="I461" s="35" t="s">
        <v>5341</v>
      </c>
      <c r="J461" s="35" t="s">
        <v>35</v>
      </c>
      <c r="K461" s="327"/>
      <c r="M461" s="35" t="s">
        <v>83</v>
      </c>
      <c r="O461" s="35" t="s">
        <v>26</v>
      </c>
    </row>
    <row r="462" spans="1:15" ht="13" hidden="1">
      <c r="A462" s="33">
        <v>43931.928260671295</v>
      </c>
      <c r="B462" s="35" t="s">
        <v>4204</v>
      </c>
      <c r="C462" s="35" t="s">
        <v>1267</v>
      </c>
      <c r="D462" s="38" t="s">
        <v>4206</v>
      </c>
      <c r="E462" s="38" t="s">
        <v>4208</v>
      </c>
      <c r="F462" s="35" t="s">
        <v>4211</v>
      </c>
      <c r="G462" s="35" t="s">
        <v>214</v>
      </c>
      <c r="H462" s="35" t="s">
        <v>189</v>
      </c>
      <c r="I462" s="35" t="s">
        <v>4204</v>
      </c>
      <c r="J462" s="35" t="s">
        <v>48</v>
      </c>
      <c r="K462" s="35" t="s">
        <v>4212</v>
      </c>
      <c r="L462" s="35" t="s">
        <v>4213</v>
      </c>
      <c r="M462" s="35" t="s">
        <v>83</v>
      </c>
      <c r="N462" s="35" t="s">
        <v>4214</v>
      </c>
      <c r="O462" s="35" t="s">
        <v>26</v>
      </c>
    </row>
    <row r="463" spans="1:15" ht="13">
      <c r="A463" s="33">
        <v>43931.985915462967</v>
      </c>
      <c r="B463" s="35" t="s">
        <v>8448</v>
      </c>
      <c r="C463" s="35" t="s">
        <v>8449</v>
      </c>
      <c r="D463" s="35" t="s">
        <v>7976</v>
      </c>
      <c r="E463" s="38" t="s">
        <v>8451</v>
      </c>
      <c r="F463" s="327"/>
      <c r="G463" s="35" t="s">
        <v>206</v>
      </c>
      <c r="H463" s="35" t="s">
        <v>33</v>
      </c>
      <c r="I463" s="35" t="s">
        <v>1420</v>
      </c>
      <c r="J463" s="35" t="s">
        <v>566</v>
      </c>
      <c r="K463" s="328" t="s">
        <v>1420</v>
      </c>
      <c r="L463" s="328" t="s">
        <v>1420</v>
      </c>
      <c r="M463" s="35" t="s">
        <v>83</v>
      </c>
      <c r="N463" s="328" t="s">
        <v>8455</v>
      </c>
      <c r="O463" s="35" t="s">
        <v>26</v>
      </c>
    </row>
    <row r="464" spans="1:15" ht="13">
      <c r="A464" s="33">
        <v>43932.068001990745</v>
      </c>
      <c r="B464" s="35" t="s">
        <v>3518</v>
      </c>
      <c r="C464" s="35" t="s">
        <v>3519</v>
      </c>
      <c r="D464" s="35" t="s">
        <v>3520</v>
      </c>
      <c r="E464" s="38" t="s">
        <v>3521</v>
      </c>
      <c r="F464" s="328" t="s">
        <v>3525</v>
      </c>
      <c r="G464" s="35" t="s">
        <v>3526</v>
      </c>
      <c r="H464" s="35" t="s">
        <v>33</v>
      </c>
      <c r="I464" s="35" t="s">
        <v>3527</v>
      </c>
      <c r="J464" s="35" t="s">
        <v>104</v>
      </c>
      <c r="K464" s="35" t="s">
        <v>3528</v>
      </c>
      <c r="L464" s="328" t="s">
        <v>3529</v>
      </c>
      <c r="M464" s="35" t="s">
        <v>83</v>
      </c>
      <c r="N464" s="328" t="s">
        <v>3530</v>
      </c>
      <c r="O464" s="35" t="s">
        <v>26</v>
      </c>
    </row>
    <row r="465" spans="1:15" ht="13">
      <c r="A465" s="33">
        <v>43932.133183101847</v>
      </c>
      <c r="B465" s="35" t="s">
        <v>6393</v>
      </c>
      <c r="C465" s="35" t="s">
        <v>6394</v>
      </c>
      <c r="D465" s="35" t="s">
        <v>6395</v>
      </c>
      <c r="E465" s="38" t="s">
        <v>6396</v>
      </c>
      <c r="F465" s="35" t="s">
        <v>6397</v>
      </c>
      <c r="G465" s="35" t="s">
        <v>6366</v>
      </c>
      <c r="H465" s="35" t="s">
        <v>33</v>
      </c>
      <c r="I465" s="35" t="s">
        <v>6398</v>
      </c>
      <c r="J465" s="35" t="s">
        <v>48</v>
      </c>
      <c r="K465" s="35" t="s">
        <v>6400</v>
      </c>
      <c r="L465" s="35" t="s">
        <v>6401</v>
      </c>
      <c r="M465" s="35" t="s">
        <v>83</v>
      </c>
      <c r="N465" s="327"/>
      <c r="O465" s="35" t="s">
        <v>26</v>
      </c>
    </row>
    <row r="466" spans="1:15" ht="13">
      <c r="A466" s="33">
        <v>43932.197681006946</v>
      </c>
      <c r="B466" s="35" t="s">
        <v>5809</v>
      </c>
      <c r="C466" s="35" t="s">
        <v>5810</v>
      </c>
      <c r="D466" s="35" t="s">
        <v>5063</v>
      </c>
      <c r="E466" s="38" t="s">
        <v>5811</v>
      </c>
      <c r="F466" s="35" t="s">
        <v>5812</v>
      </c>
      <c r="G466" s="35" t="s">
        <v>5813</v>
      </c>
      <c r="H466" s="35" t="s">
        <v>33</v>
      </c>
      <c r="I466" s="35" t="s">
        <v>15</v>
      </c>
      <c r="J466" s="35" t="s">
        <v>48</v>
      </c>
      <c r="K466" s="35" t="s">
        <v>5814</v>
      </c>
      <c r="L466" s="327"/>
      <c r="M466" s="35" t="s">
        <v>67</v>
      </c>
      <c r="O466" s="35" t="s">
        <v>26</v>
      </c>
    </row>
    <row r="467" spans="1:15" ht="13">
      <c r="A467" s="33">
        <v>43932.208946990737</v>
      </c>
      <c r="B467" s="35" t="s">
        <v>7843</v>
      </c>
      <c r="C467" s="35" t="s">
        <v>7844</v>
      </c>
      <c r="D467" s="35" t="s">
        <v>7845</v>
      </c>
      <c r="E467" s="328" t="s">
        <v>7846</v>
      </c>
      <c r="F467" s="327"/>
      <c r="G467" s="35" t="s">
        <v>7847</v>
      </c>
      <c r="H467" s="35" t="s">
        <v>33</v>
      </c>
      <c r="I467" s="35" t="s">
        <v>7848</v>
      </c>
      <c r="J467" s="35" t="s">
        <v>104</v>
      </c>
      <c r="K467" s="327"/>
      <c r="M467" s="35" t="s">
        <v>67</v>
      </c>
      <c r="N467" s="327"/>
      <c r="O467" s="35" t="s">
        <v>26</v>
      </c>
    </row>
    <row r="468" spans="1:15" ht="14">
      <c r="A468" s="33">
        <v>43932.23163412037</v>
      </c>
      <c r="B468" s="313" t="s">
        <v>9276</v>
      </c>
      <c r="C468" s="308" t="s">
        <v>9277</v>
      </c>
      <c r="D468" s="313" t="s">
        <v>87</v>
      </c>
      <c r="E468" s="312" t="s">
        <v>9278</v>
      </c>
      <c r="F468" s="313"/>
      <c r="G468" s="313" t="s">
        <v>63</v>
      </c>
      <c r="H468" s="313" t="s">
        <v>33</v>
      </c>
      <c r="I468" s="313" t="s">
        <v>2959</v>
      </c>
      <c r="J468" s="313"/>
      <c r="K468" s="313"/>
      <c r="L468" s="313"/>
      <c r="M468" s="313"/>
      <c r="N468" s="313"/>
      <c r="O468" s="35" t="s">
        <v>26</v>
      </c>
    </row>
    <row r="469" spans="1:15" ht="13">
      <c r="A469" s="33">
        <v>43932.26365630787</v>
      </c>
      <c r="B469" s="35" t="s">
        <v>9478</v>
      </c>
      <c r="C469" s="35" t="s">
        <v>9479</v>
      </c>
      <c r="D469" s="35" t="s">
        <v>2380</v>
      </c>
      <c r="E469" s="304" t="s">
        <v>9480</v>
      </c>
      <c r="F469" s="35" t="s">
        <v>9481</v>
      </c>
      <c r="G469" s="35" t="s">
        <v>5588</v>
      </c>
      <c r="H469" s="35" t="s">
        <v>33</v>
      </c>
      <c r="I469" s="319" t="s">
        <v>9423</v>
      </c>
      <c r="J469" s="327"/>
      <c r="K469" s="327"/>
      <c r="L469" s="327"/>
      <c r="M469" s="327"/>
      <c r="N469" s="327"/>
      <c r="O469" s="35" t="s">
        <v>26</v>
      </c>
    </row>
    <row r="470" spans="1:15" ht="13" hidden="1">
      <c r="A470" s="33">
        <v>43932.3256234375</v>
      </c>
      <c r="B470" s="35" t="s">
        <v>4276</v>
      </c>
      <c r="C470" s="35" t="s">
        <v>4277</v>
      </c>
      <c r="D470" s="35" t="s">
        <v>4278</v>
      </c>
      <c r="E470" s="38" t="s">
        <v>4279</v>
      </c>
      <c r="F470" s="35" t="s">
        <v>4280</v>
      </c>
      <c r="G470" s="35" t="s">
        <v>266</v>
      </c>
      <c r="H470" s="35" t="s">
        <v>506</v>
      </c>
      <c r="I470" s="35" t="s">
        <v>4281</v>
      </c>
      <c r="J470" s="35" t="s">
        <v>35</v>
      </c>
      <c r="K470" s="35" t="s">
        <v>4282</v>
      </c>
      <c r="L470" s="35" t="s">
        <v>4283</v>
      </c>
      <c r="M470" s="35" t="s">
        <v>83</v>
      </c>
      <c r="N470" s="35" t="s">
        <v>4284</v>
      </c>
      <c r="O470" s="35" t="s">
        <v>26</v>
      </c>
    </row>
    <row r="471" spans="1:15" ht="13">
      <c r="A471" s="33">
        <v>43932.356648611109</v>
      </c>
      <c r="B471" s="35" t="s">
        <v>9482</v>
      </c>
      <c r="C471" s="35" t="s">
        <v>9479</v>
      </c>
      <c r="D471" s="35" t="s">
        <v>2380</v>
      </c>
      <c r="E471" s="304" t="s">
        <v>9483</v>
      </c>
      <c r="F471" s="35" t="s">
        <v>9484</v>
      </c>
      <c r="G471" s="35" t="s">
        <v>5588</v>
      </c>
      <c r="H471" s="35" t="s">
        <v>33</v>
      </c>
      <c r="I471" s="319" t="s">
        <v>9423</v>
      </c>
      <c r="J471" s="327"/>
      <c r="K471" s="327"/>
      <c r="L471" s="327"/>
      <c r="M471" s="327"/>
      <c r="O471" s="35" t="s">
        <v>26</v>
      </c>
    </row>
    <row r="472" spans="1:15" ht="13" hidden="1">
      <c r="A472" s="33">
        <v>43932.385612372687</v>
      </c>
      <c r="B472" s="35" t="s">
        <v>4292</v>
      </c>
      <c r="C472" s="35" t="s">
        <v>4294</v>
      </c>
      <c r="D472" s="35" t="s">
        <v>4295</v>
      </c>
      <c r="E472" s="38" t="s">
        <v>4296</v>
      </c>
      <c r="F472" s="35" t="s">
        <v>4297</v>
      </c>
      <c r="G472" s="35" t="s">
        <v>1363</v>
      </c>
      <c r="H472" s="35" t="s">
        <v>46</v>
      </c>
      <c r="I472" s="35" t="s">
        <v>4298</v>
      </c>
      <c r="J472" s="35" t="s">
        <v>48</v>
      </c>
      <c r="K472" s="35" t="s">
        <v>4299</v>
      </c>
      <c r="L472" s="35" t="s">
        <v>4300</v>
      </c>
      <c r="M472" s="35" t="s">
        <v>67</v>
      </c>
      <c r="O472" s="35" t="s">
        <v>26</v>
      </c>
    </row>
    <row r="473" spans="1:15" ht="13">
      <c r="A473" s="33">
        <v>43932.388620138889</v>
      </c>
      <c r="B473" s="35" t="s">
        <v>9492</v>
      </c>
      <c r="C473" s="35" t="s">
        <v>9479</v>
      </c>
      <c r="D473" s="35" t="s">
        <v>2380</v>
      </c>
      <c r="E473" s="304" t="s">
        <v>9493</v>
      </c>
      <c r="F473" s="328" t="s">
        <v>9494</v>
      </c>
      <c r="G473" s="35" t="s">
        <v>5588</v>
      </c>
      <c r="H473" s="35" t="s">
        <v>33</v>
      </c>
      <c r="I473" s="319" t="s">
        <v>9423</v>
      </c>
      <c r="J473" s="327"/>
      <c r="K473" s="327"/>
      <c r="L473" s="327"/>
      <c r="M473" s="327"/>
      <c r="N473" s="327"/>
      <c r="O473" s="35" t="s">
        <v>26</v>
      </c>
    </row>
    <row r="474" spans="1:15" ht="13" hidden="1">
      <c r="A474" s="33">
        <v>43932.921816608796</v>
      </c>
      <c r="B474" s="35" t="s">
        <v>4305</v>
      </c>
      <c r="C474" s="35" t="s">
        <v>4306</v>
      </c>
      <c r="D474" s="35" t="s">
        <v>4307</v>
      </c>
      <c r="E474" s="38" t="s">
        <v>4308</v>
      </c>
      <c r="F474" s="35" t="s">
        <v>4311</v>
      </c>
      <c r="G474" s="35" t="s">
        <v>242</v>
      </c>
      <c r="H474" s="35" t="s">
        <v>506</v>
      </c>
      <c r="I474" s="35" t="s">
        <v>4312</v>
      </c>
      <c r="J474" s="35" t="s">
        <v>48</v>
      </c>
      <c r="K474" s="35" t="s">
        <v>4313</v>
      </c>
      <c r="L474" s="35" t="s">
        <v>4314</v>
      </c>
      <c r="M474" s="35" t="s">
        <v>67</v>
      </c>
      <c r="N474" s="35" t="s">
        <v>255</v>
      </c>
      <c r="O474" s="35" t="s">
        <v>26</v>
      </c>
    </row>
    <row r="475" spans="1:15" ht="13" hidden="1">
      <c r="A475" s="33">
        <v>43932.937207222218</v>
      </c>
      <c r="B475" s="35" t="s">
        <v>4315</v>
      </c>
      <c r="C475" s="35" t="s">
        <v>4316</v>
      </c>
      <c r="D475" s="35" t="s">
        <v>4133</v>
      </c>
      <c r="E475" s="38" t="s">
        <v>4317</v>
      </c>
      <c r="F475" s="35" t="s">
        <v>4318</v>
      </c>
      <c r="G475" s="35" t="s">
        <v>63</v>
      </c>
      <c r="H475" s="35" t="s">
        <v>506</v>
      </c>
      <c r="I475" s="35" t="s">
        <v>4319</v>
      </c>
      <c r="J475" s="35" t="s">
        <v>81</v>
      </c>
      <c r="M475" s="35" t="s">
        <v>83</v>
      </c>
      <c r="O475" s="35" t="s">
        <v>26</v>
      </c>
    </row>
    <row r="476" spans="1:15" ht="13">
      <c r="A476" s="33">
        <v>43932.946509120375</v>
      </c>
      <c r="B476" s="35" t="s">
        <v>2303</v>
      </c>
      <c r="C476" s="35" t="s">
        <v>2304</v>
      </c>
      <c r="D476" s="35" t="s">
        <v>2305</v>
      </c>
      <c r="E476" s="38" t="s">
        <v>2306</v>
      </c>
      <c r="F476" s="35" t="s">
        <v>2308</v>
      </c>
      <c r="G476" s="35" t="s">
        <v>709</v>
      </c>
      <c r="H476" s="35" t="s">
        <v>33</v>
      </c>
      <c r="I476" s="35" t="s">
        <v>662</v>
      </c>
      <c r="J476" s="35" t="s">
        <v>48</v>
      </c>
      <c r="K476" s="327"/>
      <c r="L476" s="327"/>
      <c r="M476" s="35" t="s">
        <v>67</v>
      </c>
      <c r="N476" s="327"/>
      <c r="O476" s="35" t="s">
        <v>26</v>
      </c>
    </row>
    <row r="477" spans="1:15" ht="13">
      <c r="A477" s="33">
        <v>43933.030843217595</v>
      </c>
      <c r="B477" s="35" t="s">
        <v>3176</v>
      </c>
      <c r="C477" s="35" t="s">
        <v>3177</v>
      </c>
      <c r="D477" s="35" t="s">
        <v>2380</v>
      </c>
      <c r="E477" s="38" t="s">
        <v>3178</v>
      </c>
      <c r="F477" s="328" t="s">
        <v>3179</v>
      </c>
      <c r="G477" s="35" t="s">
        <v>709</v>
      </c>
      <c r="H477" s="35" t="s">
        <v>33</v>
      </c>
      <c r="I477" s="35" t="s">
        <v>3180</v>
      </c>
      <c r="J477" s="35" t="s">
        <v>48</v>
      </c>
      <c r="K477" s="35" t="s">
        <v>3181</v>
      </c>
      <c r="L477" s="328" t="s">
        <v>3182</v>
      </c>
      <c r="M477" s="35" t="s">
        <v>67</v>
      </c>
      <c r="O477" s="35" t="s">
        <v>26</v>
      </c>
    </row>
    <row r="478" spans="1:15" ht="13">
      <c r="A478" s="33">
        <v>43933.040278553242</v>
      </c>
      <c r="B478" s="35" t="s">
        <v>6968</v>
      </c>
      <c r="C478" s="35" t="s">
        <v>6969</v>
      </c>
      <c r="D478" s="328" t="s">
        <v>6970</v>
      </c>
      <c r="E478" s="38" t="s">
        <v>6971</v>
      </c>
      <c r="F478" s="327"/>
      <c r="G478" s="35" t="s">
        <v>709</v>
      </c>
      <c r="H478" s="35" t="s">
        <v>33</v>
      </c>
      <c r="I478" s="35" t="s">
        <v>6973</v>
      </c>
      <c r="J478" s="35" t="s">
        <v>104</v>
      </c>
      <c r="K478" s="327"/>
      <c r="L478" s="327"/>
      <c r="M478" s="35" t="s">
        <v>67</v>
      </c>
      <c r="O478" s="35" t="s">
        <v>26</v>
      </c>
    </row>
    <row r="479" spans="1:15" ht="13">
      <c r="A479" s="33">
        <v>43933.130671296298</v>
      </c>
      <c r="B479" s="35" t="s">
        <v>9444</v>
      </c>
      <c r="C479" s="35" t="s">
        <v>6969</v>
      </c>
      <c r="D479" s="35" t="s">
        <v>2380</v>
      </c>
      <c r="E479" s="304" t="s">
        <v>9445</v>
      </c>
      <c r="F479" s="328" t="s">
        <v>9446</v>
      </c>
      <c r="G479" s="35" t="s">
        <v>5588</v>
      </c>
      <c r="H479" s="35" t="s">
        <v>33</v>
      </c>
      <c r="I479" s="319" t="s">
        <v>9423</v>
      </c>
      <c r="J479" s="327"/>
      <c r="K479" s="327"/>
      <c r="L479" s="327"/>
      <c r="M479" s="327"/>
      <c r="O479" s="35" t="s">
        <v>26</v>
      </c>
    </row>
    <row r="480" spans="1:15" ht="13">
      <c r="A480" s="33">
        <v>43933.14565564815</v>
      </c>
      <c r="B480" s="35" t="s">
        <v>9470</v>
      </c>
      <c r="C480" s="35" t="s">
        <v>6969</v>
      </c>
      <c r="D480" s="35" t="s">
        <v>2380</v>
      </c>
      <c r="E480" s="328" t="s">
        <v>9453</v>
      </c>
      <c r="F480" s="35" t="s">
        <v>9471</v>
      </c>
      <c r="G480" s="35" t="s">
        <v>5588</v>
      </c>
      <c r="H480" s="35" t="s">
        <v>33</v>
      </c>
      <c r="I480" s="319" t="s">
        <v>9423</v>
      </c>
      <c r="J480" s="327"/>
      <c r="K480" s="327"/>
      <c r="L480" s="327"/>
      <c r="M480" s="327"/>
      <c r="O480" s="35" t="s">
        <v>26</v>
      </c>
    </row>
    <row r="481" spans="1:15" ht="13" hidden="1">
      <c r="A481" s="33">
        <v>43933.223950625004</v>
      </c>
      <c r="B481" s="35" t="s">
        <v>4363</v>
      </c>
      <c r="C481" s="35" t="s">
        <v>1386</v>
      </c>
      <c r="D481" s="35" t="s">
        <v>87</v>
      </c>
      <c r="E481" s="38" t="s">
        <v>4364</v>
      </c>
      <c r="F481" s="35" t="s">
        <v>4367</v>
      </c>
      <c r="G481" s="35" t="s">
        <v>4368</v>
      </c>
      <c r="H481" s="35" t="s">
        <v>46</v>
      </c>
      <c r="I481" s="35" t="s">
        <v>4369</v>
      </c>
      <c r="J481" s="35" t="s">
        <v>35</v>
      </c>
      <c r="M481" s="35" t="s">
        <v>83</v>
      </c>
      <c r="N481" s="35" t="s">
        <v>532</v>
      </c>
      <c r="O481" s="35" t="s">
        <v>26</v>
      </c>
    </row>
    <row r="482" spans="1:15" ht="13">
      <c r="A482" s="33">
        <v>43933.237887916664</v>
      </c>
      <c r="B482" s="35" t="s">
        <v>9472</v>
      </c>
      <c r="C482" s="35" t="s">
        <v>6969</v>
      </c>
      <c r="D482" s="35" t="s">
        <v>2380</v>
      </c>
      <c r="E482" s="304" t="s">
        <v>9473</v>
      </c>
      <c r="F482" s="35" t="s">
        <v>9474</v>
      </c>
      <c r="G482" s="35" t="s">
        <v>5588</v>
      </c>
      <c r="H482" s="35" t="s">
        <v>33</v>
      </c>
      <c r="I482" s="319" t="s">
        <v>9423</v>
      </c>
      <c r="J482" s="327"/>
      <c r="K482" s="327"/>
      <c r="L482" s="327"/>
      <c r="M482" s="327"/>
      <c r="O482" s="35" t="s">
        <v>26</v>
      </c>
    </row>
    <row r="483" spans="1:15" ht="13" hidden="1">
      <c r="A483" s="33">
        <v>43933.261751493061</v>
      </c>
      <c r="B483" s="35" t="s">
        <v>4377</v>
      </c>
      <c r="C483" s="35" t="s">
        <v>1267</v>
      </c>
      <c r="D483" s="35" t="s">
        <v>4378</v>
      </c>
      <c r="E483" s="38" t="s">
        <v>4379</v>
      </c>
      <c r="F483" s="35" t="s">
        <v>4382</v>
      </c>
      <c r="G483" s="35" t="s">
        <v>214</v>
      </c>
      <c r="H483" s="35" t="s">
        <v>46</v>
      </c>
      <c r="I483" s="35" t="s">
        <v>4383</v>
      </c>
      <c r="J483" s="35" t="s">
        <v>35</v>
      </c>
      <c r="M483" s="35" t="s">
        <v>83</v>
      </c>
      <c r="N483" s="35" t="s">
        <v>92</v>
      </c>
      <c r="O483" s="35" t="s">
        <v>26</v>
      </c>
    </row>
    <row r="484" spans="1:15" ht="13">
      <c r="A484" s="33">
        <v>43933.283329537036</v>
      </c>
      <c r="B484" s="35" t="s">
        <v>9475</v>
      </c>
      <c r="C484" s="35" t="s">
        <v>6969</v>
      </c>
      <c r="D484" s="35" t="s">
        <v>2380</v>
      </c>
      <c r="E484" s="304" t="s">
        <v>9476</v>
      </c>
      <c r="F484" s="35" t="s">
        <v>9477</v>
      </c>
      <c r="G484" s="35" t="s">
        <v>5588</v>
      </c>
      <c r="H484" s="35" t="s">
        <v>33</v>
      </c>
      <c r="I484" s="319" t="s">
        <v>9423</v>
      </c>
      <c r="J484" s="327"/>
      <c r="K484" s="327"/>
      <c r="L484" s="327"/>
      <c r="M484" s="327"/>
      <c r="N484" s="327"/>
      <c r="O484" s="35" t="s">
        <v>26</v>
      </c>
    </row>
    <row r="485" spans="1:15" ht="13">
      <c r="A485" s="33">
        <v>43933.364259398149</v>
      </c>
      <c r="B485" s="35" t="s">
        <v>9502</v>
      </c>
      <c r="C485" s="328" t="s">
        <v>6969</v>
      </c>
      <c r="D485" s="328" t="s">
        <v>2380</v>
      </c>
      <c r="E485" s="304" t="s">
        <v>9503</v>
      </c>
      <c r="F485" s="328" t="s">
        <v>9504</v>
      </c>
      <c r="G485" s="328" t="s">
        <v>5588</v>
      </c>
      <c r="H485" s="328" t="s">
        <v>33</v>
      </c>
      <c r="I485" s="319" t="s">
        <v>9423</v>
      </c>
      <c r="J485" s="327"/>
      <c r="M485" s="327"/>
      <c r="N485" s="327"/>
      <c r="O485" s="35" t="s">
        <v>26</v>
      </c>
    </row>
    <row r="486" spans="1:15" ht="13">
      <c r="A486" s="33">
        <v>43933.372582222219</v>
      </c>
      <c r="B486" s="35" t="s">
        <v>9505</v>
      </c>
      <c r="C486" s="328" t="s">
        <v>6969</v>
      </c>
      <c r="D486" s="328" t="s">
        <v>2380</v>
      </c>
      <c r="E486" s="341" t="s">
        <v>9506</v>
      </c>
      <c r="F486" s="328" t="s">
        <v>9507</v>
      </c>
      <c r="G486" s="328" t="s">
        <v>5588</v>
      </c>
      <c r="H486" s="328" t="s">
        <v>33</v>
      </c>
      <c r="I486" s="319" t="s">
        <v>9423</v>
      </c>
      <c r="J486" s="327"/>
      <c r="M486" s="327"/>
      <c r="N486" s="327"/>
      <c r="O486" s="35" t="s">
        <v>26</v>
      </c>
    </row>
    <row r="487" spans="1:15" ht="13" hidden="1">
      <c r="A487" s="33">
        <v>43933.398264965275</v>
      </c>
      <c r="B487" s="35" t="s">
        <v>4414</v>
      </c>
      <c r="C487" s="35" t="s">
        <v>4415</v>
      </c>
      <c r="D487" s="35" t="s">
        <v>4416</v>
      </c>
      <c r="E487" s="35" t="s">
        <v>4417</v>
      </c>
      <c r="F487" s="35" t="s">
        <v>4418</v>
      </c>
      <c r="G487" s="35" t="s">
        <v>1185</v>
      </c>
      <c r="H487" s="35" t="s">
        <v>189</v>
      </c>
      <c r="I487" s="35" t="s">
        <v>4419</v>
      </c>
      <c r="J487" s="35" t="s">
        <v>81</v>
      </c>
      <c r="K487" s="35" t="s">
        <v>4420</v>
      </c>
      <c r="L487" s="35" t="s">
        <v>4421</v>
      </c>
      <c r="M487" s="35" t="s">
        <v>83</v>
      </c>
      <c r="N487" s="35" t="s">
        <v>4422</v>
      </c>
      <c r="O487" s="35" t="s">
        <v>26</v>
      </c>
    </row>
    <row r="488" spans="1:15" ht="13">
      <c r="A488" s="33">
        <v>43933.439692789354</v>
      </c>
      <c r="B488" s="35" t="s">
        <v>9508</v>
      </c>
      <c r="C488" s="328" t="s">
        <v>6969</v>
      </c>
      <c r="D488" s="328" t="s">
        <v>2380</v>
      </c>
      <c r="E488" s="304" t="s">
        <v>9509</v>
      </c>
      <c r="F488" s="328" t="s">
        <v>9510</v>
      </c>
      <c r="G488" s="328" t="s">
        <v>5588</v>
      </c>
      <c r="H488" s="328" t="s">
        <v>33</v>
      </c>
      <c r="I488" s="319" t="s">
        <v>9423</v>
      </c>
      <c r="J488" s="327"/>
      <c r="M488" s="327"/>
      <c r="N488" s="327"/>
      <c r="O488" s="35" t="s">
        <v>26</v>
      </c>
    </row>
    <row r="489" spans="1:15" ht="13">
      <c r="A489" s="33">
        <v>43933.443112152774</v>
      </c>
      <c r="B489" s="35" t="s">
        <v>9511</v>
      </c>
      <c r="C489" s="35" t="s">
        <v>6969</v>
      </c>
      <c r="D489" s="35" t="s">
        <v>2380</v>
      </c>
      <c r="E489" s="304" t="s">
        <v>9512</v>
      </c>
      <c r="F489" s="35" t="s">
        <v>9513</v>
      </c>
      <c r="G489" s="35" t="s">
        <v>5588</v>
      </c>
      <c r="H489" s="35" t="s">
        <v>33</v>
      </c>
      <c r="I489" s="319" t="s">
        <v>9423</v>
      </c>
      <c r="J489" s="327"/>
      <c r="K489" s="327"/>
      <c r="L489" s="327"/>
      <c r="M489" s="327"/>
      <c r="N489" s="327"/>
      <c r="O489" s="35" t="s">
        <v>26</v>
      </c>
    </row>
    <row r="490" spans="1:15" ht="13">
      <c r="A490" s="33">
        <v>43933.479202141199</v>
      </c>
      <c r="B490" s="35" t="s">
        <v>9514</v>
      </c>
      <c r="C490" s="35" t="s">
        <v>6969</v>
      </c>
      <c r="D490" s="35" t="s">
        <v>2380</v>
      </c>
      <c r="E490" s="304" t="s">
        <v>9515</v>
      </c>
      <c r="F490" s="35" t="s">
        <v>9516</v>
      </c>
      <c r="G490" s="35" t="s">
        <v>5588</v>
      </c>
      <c r="H490" s="35" t="s">
        <v>33</v>
      </c>
      <c r="I490" s="319" t="s">
        <v>9423</v>
      </c>
      <c r="J490" s="327"/>
      <c r="K490" s="327"/>
      <c r="L490" s="327"/>
      <c r="M490" s="327"/>
      <c r="N490" s="327"/>
      <c r="O490" s="35" t="s">
        <v>26</v>
      </c>
    </row>
    <row r="491" spans="1:15" ht="13">
      <c r="A491" s="33">
        <v>43933.711505995372</v>
      </c>
      <c r="B491" s="35" t="s">
        <v>9536</v>
      </c>
      <c r="C491" s="35" t="s">
        <v>6969</v>
      </c>
      <c r="D491" s="35" t="s">
        <v>2380</v>
      </c>
      <c r="E491" s="304" t="s">
        <v>9537</v>
      </c>
      <c r="F491" s="328" t="s">
        <v>9538</v>
      </c>
      <c r="G491" s="35" t="s">
        <v>5588</v>
      </c>
      <c r="H491" s="35" t="s">
        <v>33</v>
      </c>
      <c r="I491" s="319" t="s">
        <v>9423</v>
      </c>
      <c r="J491" s="327"/>
      <c r="K491" s="327"/>
      <c r="L491" s="327"/>
      <c r="M491" s="327"/>
      <c r="O491" s="35" t="s">
        <v>26</v>
      </c>
    </row>
    <row r="492" spans="1:15" ht="13" hidden="1">
      <c r="A492" s="33">
        <v>43933.753491921292</v>
      </c>
      <c r="B492" s="35" t="s">
        <v>4457</v>
      </c>
      <c r="C492" s="35" t="s">
        <v>4459</v>
      </c>
      <c r="D492" s="35" t="s">
        <v>4460</v>
      </c>
      <c r="E492" s="38" t="s">
        <v>4461</v>
      </c>
      <c r="F492" s="35" t="s">
        <v>4465</v>
      </c>
      <c r="G492" s="35" t="s">
        <v>45</v>
      </c>
      <c r="H492" s="35" t="s">
        <v>126</v>
      </c>
      <c r="I492" s="35" t="s">
        <v>4466</v>
      </c>
      <c r="J492" s="35" t="s">
        <v>746</v>
      </c>
      <c r="M492" s="35" t="s">
        <v>83</v>
      </c>
      <c r="O492" s="35" t="s">
        <v>26</v>
      </c>
    </row>
    <row r="493" spans="1:15" ht="13">
      <c r="A493" s="33">
        <v>43933.786365902779</v>
      </c>
      <c r="B493" s="35" t="s">
        <v>9539</v>
      </c>
      <c r="C493" s="35" t="s">
        <v>6969</v>
      </c>
      <c r="D493" s="35" t="s">
        <v>2380</v>
      </c>
      <c r="E493" s="304" t="s">
        <v>9540</v>
      </c>
      <c r="F493" s="328" t="s">
        <v>9541</v>
      </c>
      <c r="G493" s="35" t="s">
        <v>5588</v>
      </c>
      <c r="H493" s="35" t="s">
        <v>33</v>
      </c>
      <c r="I493" s="319" t="s">
        <v>9423</v>
      </c>
      <c r="J493" s="327"/>
      <c r="K493" s="327"/>
      <c r="L493" s="327"/>
      <c r="M493" s="327"/>
      <c r="O493" s="35" t="s">
        <v>26</v>
      </c>
    </row>
    <row r="494" spans="1:15" ht="13" hidden="1">
      <c r="A494" s="33">
        <v>43933.794764259263</v>
      </c>
      <c r="B494" s="35" t="s">
        <v>4478</v>
      </c>
      <c r="C494" s="35" t="s">
        <v>2228</v>
      </c>
      <c r="D494" s="35" t="s">
        <v>4479</v>
      </c>
      <c r="E494" s="38" t="s">
        <v>4480</v>
      </c>
      <c r="F494" s="35" t="s">
        <v>4483</v>
      </c>
      <c r="G494" s="35" t="s">
        <v>32</v>
      </c>
      <c r="H494" s="35" t="s">
        <v>506</v>
      </c>
      <c r="I494" s="35" t="s">
        <v>4485</v>
      </c>
      <c r="J494" s="35" t="s">
        <v>35</v>
      </c>
      <c r="K494" s="35" t="s">
        <v>4488</v>
      </c>
      <c r="M494" s="35" t="s">
        <v>67</v>
      </c>
      <c r="O494" s="35" t="s">
        <v>26</v>
      </c>
    </row>
    <row r="495" spans="1:15" ht="13" hidden="1">
      <c r="A495" s="33">
        <v>43933.816452557869</v>
      </c>
      <c r="B495" s="35" t="s">
        <v>4490</v>
      </c>
      <c r="C495" s="35" t="s">
        <v>4491</v>
      </c>
      <c r="D495" s="35" t="s">
        <v>4492</v>
      </c>
      <c r="E495" s="38" t="s">
        <v>4493</v>
      </c>
      <c r="F495" s="35" t="s">
        <v>4495</v>
      </c>
      <c r="G495" s="35" t="s">
        <v>63</v>
      </c>
      <c r="H495" s="35" t="s">
        <v>506</v>
      </c>
      <c r="I495" s="35" t="s">
        <v>4496</v>
      </c>
      <c r="J495" s="35" t="s">
        <v>48</v>
      </c>
      <c r="K495" s="35" t="s">
        <v>4497</v>
      </c>
      <c r="M495" s="35" t="s">
        <v>67</v>
      </c>
      <c r="O495" s="35" t="s">
        <v>26</v>
      </c>
    </row>
    <row r="496" spans="1:15" ht="13">
      <c r="A496" s="33">
        <v>43933.85416101852</v>
      </c>
      <c r="B496" s="35" t="s">
        <v>1126</v>
      </c>
      <c r="C496" s="35" t="s">
        <v>1127</v>
      </c>
      <c r="D496" s="328" t="s">
        <v>1128</v>
      </c>
      <c r="E496" s="38" t="s">
        <v>1130</v>
      </c>
      <c r="F496" s="328" t="s">
        <v>1133</v>
      </c>
      <c r="G496" s="35" t="s">
        <v>394</v>
      </c>
      <c r="H496" s="35" t="s">
        <v>33</v>
      </c>
      <c r="I496" s="35" t="s">
        <v>1134</v>
      </c>
      <c r="J496" s="35" t="s">
        <v>104</v>
      </c>
      <c r="K496" s="327"/>
      <c r="L496" s="327"/>
      <c r="M496" s="35" t="s">
        <v>83</v>
      </c>
      <c r="O496" s="35" t="s">
        <v>26</v>
      </c>
    </row>
    <row r="497" spans="1:15" ht="13">
      <c r="A497" s="33">
        <v>43933.862360694446</v>
      </c>
      <c r="B497" s="35" t="s">
        <v>6599</v>
      </c>
      <c r="C497" s="35" t="s">
        <v>6600</v>
      </c>
      <c r="D497" s="35" t="s">
        <v>6601</v>
      </c>
      <c r="E497" s="328" t="s">
        <v>6599</v>
      </c>
      <c r="F497" s="35" t="s">
        <v>6602</v>
      </c>
      <c r="G497" s="35" t="s">
        <v>278</v>
      </c>
      <c r="H497" s="35" t="s">
        <v>33</v>
      </c>
      <c r="I497" s="35" t="s">
        <v>6603</v>
      </c>
      <c r="J497" s="35" t="s">
        <v>48</v>
      </c>
      <c r="K497" s="35" t="s">
        <v>6604</v>
      </c>
      <c r="L497" s="35" t="s">
        <v>6605</v>
      </c>
      <c r="M497" s="35" t="s">
        <v>67</v>
      </c>
      <c r="N497" s="328" t="s">
        <v>6606</v>
      </c>
      <c r="O497" s="35" t="s">
        <v>26</v>
      </c>
    </row>
    <row r="498" spans="1:15" ht="13">
      <c r="A498" s="33">
        <v>43933.904678611114</v>
      </c>
      <c r="B498" s="35" t="s">
        <v>2522</v>
      </c>
      <c r="C498" s="35" t="s">
        <v>2523</v>
      </c>
      <c r="D498" s="35" t="s">
        <v>1153</v>
      </c>
      <c r="E498" s="38" t="s">
        <v>2524</v>
      </c>
      <c r="F498" s="35" t="s">
        <v>2525</v>
      </c>
      <c r="G498" s="35" t="s">
        <v>63</v>
      </c>
      <c r="H498" s="35" t="s">
        <v>33</v>
      </c>
      <c r="I498" s="328" t="s">
        <v>2526</v>
      </c>
      <c r="J498" s="328" t="s">
        <v>48</v>
      </c>
      <c r="K498" s="328" t="s">
        <v>2528</v>
      </c>
      <c r="L498" s="328" t="s">
        <v>2529</v>
      </c>
      <c r="M498" s="328" t="s">
        <v>83</v>
      </c>
      <c r="N498" s="327"/>
      <c r="O498" s="35" t="s">
        <v>26</v>
      </c>
    </row>
    <row r="499" spans="1:15" ht="13">
      <c r="A499" s="33">
        <v>43933.915891053242</v>
      </c>
      <c r="B499" s="35" t="s">
        <v>1301</v>
      </c>
      <c r="C499" s="35" t="s">
        <v>1302</v>
      </c>
      <c r="D499" s="38" t="s">
        <v>1231</v>
      </c>
      <c r="E499" s="38" t="s">
        <v>1303</v>
      </c>
      <c r="F499" s="35" t="s">
        <v>1304</v>
      </c>
      <c r="G499" s="35" t="s">
        <v>394</v>
      </c>
      <c r="H499" s="35" t="s">
        <v>33</v>
      </c>
      <c r="I499" s="328" t="s">
        <v>1285</v>
      </c>
      <c r="J499" s="328" t="s">
        <v>746</v>
      </c>
      <c r="K499" s="328" t="s">
        <v>1305</v>
      </c>
      <c r="L499" s="328" t="s">
        <v>1306</v>
      </c>
      <c r="M499" s="328" t="s">
        <v>83</v>
      </c>
      <c r="O499" s="35" t="s">
        <v>26</v>
      </c>
    </row>
    <row r="500" spans="1:15" ht="13" hidden="1">
      <c r="A500" s="33">
        <v>43933.925278101851</v>
      </c>
      <c r="B500" s="35" t="s">
        <v>4535</v>
      </c>
      <c r="C500" s="35" t="s">
        <v>211</v>
      </c>
      <c r="D500" s="35" t="s">
        <v>4537</v>
      </c>
      <c r="E500" s="38" t="s">
        <v>4538</v>
      </c>
      <c r="F500" s="35" t="s">
        <v>4539</v>
      </c>
      <c r="G500" s="35" t="s">
        <v>709</v>
      </c>
      <c r="H500" s="35" t="s">
        <v>4540</v>
      </c>
      <c r="I500" s="35" t="s">
        <v>4541</v>
      </c>
      <c r="J500" s="35" t="s">
        <v>104</v>
      </c>
      <c r="M500" s="35" t="s">
        <v>83</v>
      </c>
      <c r="N500" s="35" t="s">
        <v>4542</v>
      </c>
      <c r="O500" s="35" t="s">
        <v>26</v>
      </c>
    </row>
    <row r="501" spans="1:15" ht="13" hidden="1">
      <c r="A501" s="33">
        <v>43933.934814050925</v>
      </c>
      <c r="B501" s="35" t="s">
        <v>4543</v>
      </c>
      <c r="C501" s="35" t="s">
        <v>4544</v>
      </c>
      <c r="D501" s="35" t="s">
        <v>4545</v>
      </c>
      <c r="E501" s="38" t="s">
        <v>4546</v>
      </c>
      <c r="F501" s="35" t="s">
        <v>4549</v>
      </c>
      <c r="G501" s="35" t="s">
        <v>228</v>
      </c>
      <c r="H501" s="35" t="s">
        <v>46</v>
      </c>
      <c r="I501" s="35" t="s">
        <v>4550</v>
      </c>
      <c r="J501" s="35" t="s">
        <v>81</v>
      </c>
      <c r="K501" s="35" t="s">
        <v>83</v>
      </c>
      <c r="M501" s="35" t="s">
        <v>67</v>
      </c>
      <c r="N501" s="35" t="s">
        <v>4551</v>
      </c>
      <c r="O501" s="35" t="s">
        <v>26</v>
      </c>
    </row>
    <row r="502" spans="1:15" ht="13">
      <c r="A502" s="33">
        <v>43933.960099895834</v>
      </c>
      <c r="B502" s="35" t="s">
        <v>5411</v>
      </c>
      <c r="C502" s="35" t="s">
        <v>5412</v>
      </c>
      <c r="D502" s="35" t="s">
        <v>5413</v>
      </c>
      <c r="E502" s="38" t="s">
        <v>5414</v>
      </c>
      <c r="F502" s="328" t="s">
        <v>5415</v>
      </c>
      <c r="G502" s="35" t="s">
        <v>519</v>
      </c>
      <c r="H502" s="35" t="s">
        <v>33</v>
      </c>
      <c r="I502" s="35" t="s">
        <v>5416</v>
      </c>
      <c r="J502" s="35" t="s">
        <v>48</v>
      </c>
      <c r="K502" s="328" t="s">
        <v>5416</v>
      </c>
      <c r="L502" s="327"/>
      <c r="M502" s="35" t="s">
        <v>67</v>
      </c>
      <c r="N502" s="327"/>
      <c r="O502" s="35" t="s">
        <v>26</v>
      </c>
    </row>
    <row r="503" spans="1:15" ht="13">
      <c r="A503" s="33">
        <v>43933.967803055551</v>
      </c>
      <c r="B503" s="35" t="s">
        <v>9517</v>
      </c>
      <c r="C503" s="35" t="s">
        <v>9378</v>
      </c>
      <c r="D503" s="35" t="s">
        <v>2380</v>
      </c>
      <c r="E503" s="304" t="s">
        <v>9518</v>
      </c>
      <c r="F503" s="320" t="s">
        <v>9519</v>
      </c>
      <c r="G503" s="35" t="s">
        <v>9520</v>
      </c>
      <c r="H503" s="35" t="s">
        <v>33</v>
      </c>
      <c r="I503" s="319" t="s">
        <v>9423</v>
      </c>
      <c r="J503" s="327"/>
      <c r="K503" s="327"/>
      <c r="M503" s="327"/>
      <c r="O503" s="35" t="s">
        <v>26</v>
      </c>
    </row>
    <row r="504" spans="1:15" ht="13">
      <c r="A504" s="33">
        <v>43933.979235011575</v>
      </c>
      <c r="B504" s="35" t="s">
        <v>9529</v>
      </c>
      <c r="C504" s="35" t="s">
        <v>9378</v>
      </c>
      <c r="D504" s="35" t="s">
        <v>2380</v>
      </c>
      <c r="E504" s="304" t="s">
        <v>9530</v>
      </c>
      <c r="F504" s="35" t="s">
        <v>9531</v>
      </c>
      <c r="G504" s="35" t="s">
        <v>9520</v>
      </c>
      <c r="H504" s="35" t="s">
        <v>33</v>
      </c>
      <c r="I504" s="319" t="s">
        <v>9423</v>
      </c>
      <c r="J504" s="327"/>
      <c r="K504" s="327"/>
      <c r="L504" s="327"/>
      <c r="M504" s="327"/>
      <c r="N504" s="327"/>
      <c r="O504" s="35" t="s">
        <v>26</v>
      </c>
    </row>
    <row r="505" spans="1:15" ht="13">
      <c r="A505" s="33">
        <v>43933.983488287035</v>
      </c>
      <c r="B505" s="35" t="s">
        <v>3622</v>
      </c>
      <c r="C505" s="35" t="s">
        <v>3623</v>
      </c>
      <c r="D505" s="35" t="s">
        <v>1153</v>
      </c>
      <c r="E505" s="38" t="s">
        <v>3624</v>
      </c>
      <c r="F505" s="35" t="s">
        <v>3625</v>
      </c>
      <c r="G505" s="35" t="s">
        <v>3626</v>
      </c>
      <c r="H505" s="35" t="s">
        <v>33</v>
      </c>
      <c r="I505" s="35" t="s">
        <v>3627</v>
      </c>
      <c r="J505" s="35" t="s">
        <v>35</v>
      </c>
      <c r="K505" s="327"/>
      <c r="L505" s="327"/>
      <c r="M505" s="35" t="s">
        <v>83</v>
      </c>
      <c r="O505" s="35" t="s">
        <v>26</v>
      </c>
    </row>
    <row r="506" spans="1:15" ht="13" hidden="1">
      <c r="A506" s="33">
        <v>43933.98683642361</v>
      </c>
      <c r="B506" s="35" t="s">
        <v>4584</v>
      </c>
      <c r="C506" s="35" t="s">
        <v>4585</v>
      </c>
      <c r="D506" s="35" t="s">
        <v>3894</v>
      </c>
      <c r="E506" s="38" t="s">
        <v>4586</v>
      </c>
      <c r="F506" s="35" t="s">
        <v>4590</v>
      </c>
      <c r="G506" s="35" t="s">
        <v>1381</v>
      </c>
      <c r="H506" s="35" t="s">
        <v>506</v>
      </c>
      <c r="I506" s="35" t="s">
        <v>4591</v>
      </c>
      <c r="J506" s="35" t="s">
        <v>35</v>
      </c>
      <c r="K506" s="35" t="s">
        <v>4592</v>
      </c>
      <c r="L506" s="35" t="s">
        <v>4593</v>
      </c>
      <c r="M506" s="35" t="s">
        <v>83</v>
      </c>
      <c r="O506" s="35" t="s">
        <v>26</v>
      </c>
    </row>
    <row r="507" spans="1:15" ht="13">
      <c r="A507" s="33">
        <v>43934.027885902775</v>
      </c>
      <c r="B507" s="35" t="s">
        <v>7873</v>
      </c>
      <c r="C507" s="35" t="s">
        <v>7874</v>
      </c>
      <c r="D507" s="35" t="s">
        <v>7875</v>
      </c>
      <c r="E507" s="38" t="s">
        <v>7876</v>
      </c>
      <c r="F507" s="327"/>
      <c r="G507" s="35" t="s">
        <v>519</v>
      </c>
      <c r="H507" s="35" t="s">
        <v>33</v>
      </c>
      <c r="I507" s="35" t="s">
        <v>7878</v>
      </c>
      <c r="J507" s="35" t="s">
        <v>48</v>
      </c>
      <c r="K507" s="327"/>
      <c r="M507" s="35" t="s">
        <v>83</v>
      </c>
      <c r="N507" s="328" t="s">
        <v>67</v>
      </c>
      <c r="O507" s="35" t="s">
        <v>26</v>
      </c>
    </row>
    <row r="508" spans="1:15" ht="13" hidden="1">
      <c r="A508" s="33">
        <v>43934.051132615743</v>
      </c>
      <c r="B508" s="35" t="s">
        <v>4600</v>
      </c>
      <c r="C508" s="35" t="s">
        <v>4601</v>
      </c>
      <c r="D508" s="35" t="s">
        <v>4602</v>
      </c>
      <c r="E508" s="38" t="s">
        <v>4603</v>
      </c>
      <c r="F508" s="35" t="s">
        <v>4607</v>
      </c>
      <c r="G508" s="35" t="s">
        <v>519</v>
      </c>
      <c r="H508" s="35" t="s">
        <v>46</v>
      </c>
      <c r="I508" s="35" t="s">
        <v>4608</v>
      </c>
      <c r="J508" s="35" t="s">
        <v>81</v>
      </c>
      <c r="M508" s="35" t="s">
        <v>83</v>
      </c>
      <c r="N508" s="35" t="s">
        <v>4609</v>
      </c>
      <c r="O508" s="35" t="s">
        <v>26</v>
      </c>
    </row>
    <row r="509" spans="1:15" ht="13">
      <c r="A509" s="33">
        <v>43934.052163981483</v>
      </c>
      <c r="B509" s="35" t="s">
        <v>8930</v>
      </c>
      <c r="C509" s="35" t="s">
        <v>8932</v>
      </c>
      <c r="D509" s="35" t="s">
        <v>1423</v>
      </c>
      <c r="E509" s="38" t="s">
        <v>8933</v>
      </c>
      <c r="F509" s="327"/>
      <c r="G509" s="35" t="s">
        <v>2299</v>
      </c>
      <c r="H509" s="35" t="s">
        <v>33</v>
      </c>
      <c r="I509" s="35" t="s">
        <v>425</v>
      </c>
      <c r="J509" s="35" t="s">
        <v>104</v>
      </c>
      <c r="K509" s="328" t="s">
        <v>8935</v>
      </c>
      <c r="L509" s="327"/>
      <c r="M509" s="35" t="s">
        <v>83</v>
      </c>
      <c r="O509" s="35" t="s">
        <v>26</v>
      </c>
    </row>
    <row r="510" spans="1:15" ht="13" hidden="1">
      <c r="A510" s="33">
        <v>43934.080308622681</v>
      </c>
      <c r="B510" s="35" t="s">
        <v>4616</v>
      </c>
      <c r="C510" s="35" t="s">
        <v>2454</v>
      </c>
      <c r="D510" s="35" t="s">
        <v>87</v>
      </c>
      <c r="E510" s="38" t="s">
        <v>4617</v>
      </c>
      <c r="F510" s="35" t="s">
        <v>4621</v>
      </c>
      <c r="G510" s="35" t="s">
        <v>398</v>
      </c>
      <c r="H510" s="35" t="s">
        <v>399</v>
      </c>
      <c r="I510" s="35" t="s">
        <v>4622</v>
      </c>
      <c r="J510" s="35" t="s">
        <v>35</v>
      </c>
      <c r="K510" s="35" t="s">
        <v>4623</v>
      </c>
      <c r="L510" s="35" t="s">
        <v>4624</v>
      </c>
      <c r="M510" s="35" t="s">
        <v>67</v>
      </c>
      <c r="O510" s="35" t="s">
        <v>26</v>
      </c>
    </row>
    <row r="511" spans="1:15" ht="13">
      <c r="A511" s="33">
        <v>43934.083780775458</v>
      </c>
      <c r="B511" s="35" t="s">
        <v>2329</v>
      </c>
      <c r="C511" s="35" t="s">
        <v>2330</v>
      </c>
      <c r="D511" s="35" t="s">
        <v>1718</v>
      </c>
      <c r="E511" s="328" t="s">
        <v>2329</v>
      </c>
      <c r="F511" s="35" t="s">
        <v>2331</v>
      </c>
      <c r="G511" s="35" t="s">
        <v>1471</v>
      </c>
      <c r="H511" s="35" t="s">
        <v>33</v>
      </c>
      <c r="I511" s="35" t="s">
        <v>2332</v>
      </c>
      <c r="J511" s="35" t="s">
        <v>48</v>
      </c>
      <c r="K511" s="327"/>
      <c r="M511" s="35" t="s">
        <v>67</v>
      </c>
      <c r="N511" s="327"/>
      <c r="O511" s="35" t="s">
        <v>26</v>
      </c>
    </row>
    <row r="512" spans="1:15" ht="13" hidden="1">
      <c r="A512" s="33">
        <v>43934.090592800931</v>
      </c>
      <c r="B512" s="35" t="s">
        <v>4631</v>
      </c>
      <c r="C512" s="35" t="s">
        <v>4633</v>
      </c>
      <c r="D512" s="35" t="s">
        <v>3929</v>
      </c>
      <c r="E512" s="38" t="s">
        <v>4635</v>
      </c>
      <c r="F512" s="35" t="s">
        <v>4637</v>
      </c>
      <c r="G512" s="35" t="s">
        <v>4472</v>
      </c>
      <c r="H512" s="35" t="s">
        <v>506</v>
      </c>
      <c r="I512" s="35" t="s">
        <v>4638</v>
      </c>
      <c r="J512" s="35" t="s">
        <v>305</v>
      </c>
      <c r="M512" s="35" t="s">
        <v>83</v>
      </c>
      <c r="O512" s="35" t="s">
        <v>26</v>
      </c>
    </row>
    <row r="513" spans="1:15" ht="13" hidden="1">
      <c r="A513" s="33">
        <v>43934.101535416667</v>
      </c>
      <c r="B513" s="35" t="s">
        <v>4639</v>
      </c>
      <c r="C513" s="35" t="s">
        <v>4640</v>
      </c>
      <c r="D513" s="35" t="s">
        <v>4641</v>
      </c>
      <c r="E513" s="38" t="s">
        <v>4642</v>
      </c>
      <c r="F513" s="35" t="s">
        <v>4643</v>
      </c>
      <c r="G513" s="35" t="s">
        <v>709</v>
      </c>
      <c r="H513" s="35" t="s">
        <v>46</v>
      </c>
      <c r="I513" s="35" t="s">
        <v>4644</v>
      </c>
      <c r="J513" s="35" t="s">
        <v>104</v>
      </c>
      <c r="K513" s="35" t="s">
        <v>4645</v>
      </c>
      <c r="L513" s="35" t="s">
        <v>4645</v>
      </c>
      <c r="M513" s="35" t="s">
        <v>83</v>
      </c>
      <c r="N513" s="35" t="s">
        <v>4646</v>
      </c>
      <c r="O513" s="35" t="s">
        <v>26</v>
      </c>
    </row>
    <row r="514" spans="1:15" ht="13">
      <c r="A514" s="33">
        <v>43934.111556898148</v>
      </c>
      <c r="B514" s="35" t="s">
        <v>2453</v>
      </c>
      <c r="C514" s="35" t="s">
        <v>2454</v>
      </c>
      <c r="D514" s="35" t="s">
        <v>2455</v>
      </c>
      <c r="E514" s="38" t="s">
        <v>2456</v>
      </c>
      <c r="F514" s="35" t="s">
        <v>2457</v>
      </c>
      <c r="G514" s="35" t="s">
        <v>296</v>
      </c>
      <c r="H514" s="35" t="s">
        <v>33</v>
      </c>
      <c r="I514" s="35" t="s">
        <v>2458</v>
      </c>
      <c r="J514" s="35" t="s">
        <v>104</v>
      </c>
      <c r="K514" s="35" t="s">
        <v>2459</v>
      </c>
      <c r="L514" s="327"/>
      <c r="M514" s="35" t="s">
        <v>83</v>
      </c>
      <c r="N514" s="328" t="s">
        <v>2460</v>
      </c>
      <c r="O514" s="35" t="s">
        <v>26</v>
      </c>
    </row>
    <row r="515" spans="1:15" ht="13">
      <c r="A515" s="33">
        <v>43934.125280208333</v>
      </c>
      <c r="B515" s="35" t="s">
        <v>5926</v>
      </c>
      <c r="C515" s="35" t="s">
        <v>2454</v>
      </c>
      <c r="D515" s="35" t="s">
        <v>5927</v>
      </c>
      <c r="E515" s="38" t="s">
        <v>5928</v>
      </c>
      <c r="F515" s="328" t="s">
        <v>5932</v>
      </c>
      <c r="G515" s="35" t="s">
        <v>5933</v>
      </c>
      <c r="H515" s="35" t="s">
        <v>33</v>
      </c>
      <c r="I515" s="35" t="s">
        <v>5934</v>
      </c>
      <c r="J515" s="35" t="s">
        <v>48</v>
      </c>
      <c r="K515" s="35" t="s">
        <v>5935</v>
      </c>
      <c r="M515" s="35" t="s">
        <v>83</v>
      </c>
      <c r="O515" s="35" t="s">
        <v>26</v>
      </c>
    </row>
    <row r="516" spans="1:15" ht="13">
      <c r="A516" s="33">
        <v>43934.148530451392</v>
      </c>
      <c r="B516" s="35" t="s">
        <v>9498</v>
      </c>
      <c r="C516" s="35" t="s">
        <v>9499</v>
      </c>
      <c r="D516" s="35" t="s">
        <v>2380</v>
      </c>
      <c r="E516" s="304" t="s">
        <v>9500</v>
      </c>
      <c r="F516" s="35" t="s">
        <v>9501</v>
      </c>
      <c r="G516" s="35" t="s">
        <v>5588</v>
      </c>
      <c r="H516" s="35" t="s">
        <v>33</v>
      </c>
      <c r="I516" s="319" t="s">
        <v>9423</v>
      </c>
      <c r="J516" s="327"/>
      <c r="M516" s="327"/>
      <c r="O516" s="35" t="s">
        <v>26</v>
      </c>
    </row>
    <row r="517" spans="1:15" ht="13">
      <c r="A517" s="33">
        <v>43934.150536956018</v>
      </c>
      <c r="B517" s="35" t="s">
        <v>9532</v>
      </c>
      <c r="C517" s="35" t="s">
        <v>9533</v>
      </c>
      <c r="D517" s="35" t="s">
        <v>2380</v>
      </c>
      <c r="E517" s="304" t="s">
        <v>9534</v>
      </c>
      <c r="F517" s="35" t="s">
        <v>9535</v>
      </c>
      <c r="G517" s="35" t="s">
        <v>5588</v>
      </c>
      <c r="H517" s="35" t="s">
        <v>33</v>
      </c>
      <c r="I517" s="319" t="s">
        <v>9423</v>
      </c>
      <c r="J517" s="327"/>
      <c r="K517" s="327"/>
      <c r="L517" s="327"/>
      <c r="M517" s="327"/>
      <c r="O517" s="35" t="s">
        <v>26</v>
      </c>
    </row>
    <row r="518" spans="1:15" ht="13">
      <c r="A518" s="33">
        <v>43934.167691087961</v>
      </c>
      <c r="B518" s="35" t="s">
        <v>5553</v>
      </c>
      <c r="C518" s="35" t="s">
        <v>5554</v>
      </c>
      <c r="D518" s="35" t="s">
        <v>5555</v>
      </c>
      <c r="E518" s="328" t="s">
        <v>5553</v>
      </c>
      <c r="F518" s="35" t="s">
        <v>5556</v>
      </c>
      <c r="G518" s="35" t="s">
        <v>296</v>
      </c>
      <c r="H518" s="35" t="s">
        <v>33</v>
      </c>
      <c r="I518" s="35" t="s">
        <v>5557</v>
      </c>
      <c r="J518" s="35" t="s">
        <v>104</v>
      </c>
      <c r="K518" s="328" t="s">
        <v>5558</v>
      </c>
      <c r="L518" s="328" t="s">
        <v>5559</v>
      </c>
      <c r="M518" s="35" t="s">
        <v>83</v>
      </c>
      <c r="O518" s="35" t="s">
        <v>26</v>
      </c>
    </row>
    <row r="519" spans="1:15" ht="13">
      <c r="A519" s="33">
        <v>43934.168749745368</v>
      </c>
      <c r="B519" s="35" t="s">
        <v>9137</v>
      </c>
      <c r="C519" s="328" t="s">
        <v>9138</v>
      </c>
      <c r="D519" s="328" t="s">
        <v>7526</v>
      </c>
      <c r="E519" s="38" t="s">
        <v>9139</v>
      </c>
      <c r="F519" s="327"/>
      <c r="G519" s="328" t="s">
        <v>296</v>
      </c>
      <c r="H519" s="328" t="s">
        <v>33</v>
      </c>
      <c r="I519" s="328" t="s">
        <v>9140</v>
      </c>
      <c r="J519" s="328" t="s">
        <v>35</v>
      </c>
      <c r="M519" s="328" t="s">
        <v>83</v>
      </c>
      <c r="N519" s="327"/>
      <c r="O519" s="35" t="s">
        <v>26</v>
      </c>
    </row>
    <row r="520" spans="1:15" ht="13">
      <c r="A520" s="33">
        <v>43934.185338900468</v>
      </c>
      <c r="B520" s="35" t="s">
        <v>1609</v>
      </c>
      <c r="C520" s="328" t="s">
        <v>1610</v>
      </c>
      <c r="D520" s="328" t="s">
        <v>1611</v>
      </c>
      <c r="E520" s="328" t="s">
        <v>1612</v>
      </c>
      <c r="F520" s="328" t="s">
        <v>1614</v>
      </c>
      <c r="G520" s="328" t="s">
        <v>1615</v>
      </c>
      <c r="H520" s="328" t="s">
        <v>33</v>
      </c>
      <c r="I520" s="328" t="s">
        <v>1616</v>
      </c>
      <c r="J520" s="328" t="s">
        <v>48</v>
      </c>
      <c r="M520" s="328" t="s">
        <v>83</v>
      </c>
      <c r="N520" s="327"/>
      <c r="O520" s="35" t="s">
        <v>26</v>
      </c>
    </row>
    <row r="521" spans="1:15" ht="13">
      <c r="A521" s="33">
        <v>43934.194707546296</v>
      </c>
      <c r="B521" s="35" t="s">
        <v>5587</v>
      </c>
      <c r="C521" s="35" t="s">
        <v>5588</v>
      </c>
      <c r="D521" s="328" t="s">
        <v>5579</v>
      </c>
      <c r="E521" s="328" t="s">
        <v>5589</v>
      </c>
      <c r="F521" s="328" t="s">
        <v>5590</v>
      </c>
      <c r="G521" s="35" t="s">
        <v>296</v>
      </c>
      <c r="H521" s="35" t="s">
        <v>33</v>
      </c>
      <c r="I521" s="35" t="s">
        <v>5591</v>
      </c>
      <c r="J521" s="35" t="s">
        <v>48</v>
      </c>
      <c r="M521" s="35" t="s">
        <v>67</v>
      </c>
      <c r="O521" s="35" t="s">
        <v>26</v>
      </c>
    </row>
    <row r="522" spans="1:15" ht="13" hidden="1">
      <c r="A522" s="33">
        <v>43934.22953921296</v>
      </c>
      <c r="B522" s="35" t="s">
        <v>4716</v>
      </c>
      <c r="C522" s="35" t="s">
        <v>4717</v>
      </c>
      <c r="D522" s="35" t="s">
        <v>2937</v>
      </c>
      <c r="E522" s="38" t="s">
        <v>4718</v>
      </c>
      <c r="F522" s="35" t="s">
        <v>4723</v>
      </c>
      <c r="G522" s="35" t="s">
        <v>322</v>
      </c>
      <c r="H522" s="35" t="s">
        <v>387</v>
      </c>
      <c r="I522" s="35" t="s">
        <v>4724</v>
      </c>
      <c r="J522" s="35" t="s">
        <v>48</v>
      </c>
      <c r="M522" s="35" t="s">
        <v>67</v>
      </c>
      <c r="O522" s="35" t="s">
        <v>26</v>
      </c>
    </row>
    <row r="523" spans="1:15" ht="13" hidden="1">
      <c r="A523" s="33">
        <v>43934.245425567133</v>
      </c>
      <c r="B523" s="35" t="s">
        <v>4725</v>
      </c>
      <c r="C523" s="35" t="s">
        <v>4726</v>
      </c>
      <c r="D523" s="35" t="s">
        <v>4727</v>
      </c>
      <c r="E523" s="38" t="s">
        <v>4728</v>
      </c>
      <c r="F523" s="35" t="s">
        <v>4732</v>
      </c>
      <c r="G523" s="35" t="s">
        <v>709</v>
      </c>
      <c r="H523" s="35" t="s">
        <v>506</v>
      </c>
      <c r="I523" s="35" t="s">
        <v>4734</v>
      </c>
      <c r="J523" s="35" t="s">
        <v>104</v>
      </c>
      <c r="K523" s="35" t="s">
        <v>4735</v>
      </c>
      <c r="L523" s="35" t="s">
        <v>4736</v>
      </c>
      <c r="M523" s="35" t="s">
        <v>83</v>
      </c>
      <c r="N523" s="35" t="s">
        <v>4737</v>
      </c>
      <c r="O523" s="35" t="s">
        <v>26</v>
      </c>
    </row>
    <row r="524" spans="1:15" ht="13">
      <c r="A524" s="33">
        <v>43934.28113920139</v>
      </c>
      <c r="B524" s="328" t="s">
        <v>1352</v>
      </c>
      <c r="C524" s="328" t="s">
        <v>1353</v>
      </c>
      <c r="D524" s="328" t="s">
        <v>1354</v>
      </c>
      <c r="E524" s="38" t="s">
        <v>1355</v>
      </c>
      <c r="F524" s="328" t="s">
        <v>1362</v>
      </c>
      <c r="G524" s="328" t="s">
        <v>1363</v>
      </c>
      <c r="H524" s="328" t="s">
        <v>33</v>
      </c>
      <c r="I524" s="328" t="s">
        <v>1364</v>
      </c>
      <c r="J524" s="328" t="s">
        <v>48</v>
      </c>
      <c r="K524" s="328" t="s">
        <v>987</v>
      </c>
      <c r="L524" s="327"/>
      <c r="M524" s="328" t="s">
        <v>83</v>
      </c>
      <c r="N524" s="327"/>
      <c r="O524" s="35" t="s">
        <v>26</v>
      </c>
    </row>
    <row r="525" spans="1:15" ht="13">
      <c r="A525" s="33">
        <v>43934.324120196761</v>
      </c>
      <c r="B525" s="35" t="s">
        <v>5577</v>
      </c>
      <c r="C525" s="35" t="s">
        <v>5578</v>
      </c>
      <c r="D525" s="35" t="s">
        <v>5579</v>
      </c>
      <c r="E525" s="38" t="s">
        <v>5580</v>
      </c>
      <c r="F525" s="328" t="s">
        <v>5583</v>
      </c>
      <c r="G525" s="35" t="s">
        <v>296</v>
      </c>
      <c r="H525" s="35" t="s">
        <v>33</v>
      </c>
      <c r="I525" s="35" t="s">
        <v>5584</v>
      </c>
      <c r="J525" s="35" t="s">
        <v>48</v>
      </c>
      <c r="M525" s="35" t="s">
        <v>83</v>
      </c>
      <c r="O525" s="35" t="s">
        <v>26</v>
      </c>
    </row>
    <row r="526" spans="1:15" ht="13">
      <c r="A526" s="33">
        <v>43934.338193043979</v>
      </c>
      <c r="B526" s="328" t="s">
        <v>8637</v>
      </c>
      <c r="C526" s="328" t="s">
        <v>8638</v>
      </c>
      <c r="D526" s="328" t="s">
        <v>7101</v>
      </c>
      <c r="E526" s="38" t="s">
        <v>8639</v>
      </c>
      <c r="F526" s="327"/>
      <c r="G526" s="328" t="s">
        <v>363</v>
      </c>
      <c r="H526" s="328" t="s">
        <v>33</v>
      </c>
      <c r="I526" s="328" t="s">
        <v>8640</v>
      </c>
      <c r="J526" s="328" t="s">
        <v>48</v>
      </c>
      <c r="K526" s="327"/>
      <c r="L526" s="327"/>
      <c r="M526" s="328" t="s">
        <v>83</v>
      </c>
      <c r="N526" s="328" t="s">
        <v>8641</v>
      </c>
      <c r="O526" s="35" t="s">
        <v>26</v>
      </c>
    </row>
    <row r="527" spans="1:15" ht="13">
      <c r="A527" s="33">
        <v>43934.362303483795</v>
      </c>
      <c r="B527" s="35" t="s">
        <v>3884</v>
      </c>
      <c r="C527" s="35" t="s">
        <v>3885</v>
      </c>
      <c r="D527" s="35" t="s">
        <v>3166</v>
      </c>
      <c r="E527" s="38" t="s">
        <v>3886</v>
      </c>
      <c r="F527" s="328" t="s">
        <v>3890</v>
      </c>
      <c r="G527" s="35" t="s">
        <v>1471</v>
      </c>
      <c r="H527" s="35" t="s">
        <v>33</v>
      </c>
      <c r="I527" s="35" t="s">
        <v>3891</v>
      </c>
      <c r="J527" s="35" t="s">
        <v>48</v>
      </c>
      <c r="K527" s="328" t="s">
        <v>3891</v>
      </c>
      <c r="M527" s="35" t="s">
        <v>67</v>
      </c>
      <c r="O527" s="35" t="s">
        <v>26</v>
      </c>
    </row>
    <row r="528" spans="1:15" ht="13">
      <c r="A528" s="33">
        <v>43934.382139039357</v>
      </c>
      <c r="B528" s="35" t="s">
        <v>3928</v>
      </c>
      <c r="C528" s="35" t="s">
        <v>3885</v>
      </c>
      <c r="D528" s="35" t="s">
        <v>3929</v>
      </c>
      <c r="E528" s="328" t="s">
        <v>3928</v>
      </c>
      <c r="F528" s="328" t="s">
        <v>3930</v>
      </c>
      <c r="G528" s="35" t="s">
        <v>296</v>
      </c>
      <c r="H528" s="35" t="s">
        <v>33</v>
      </c>
      <c r="I528" s="35" t="s">
        <v>3931</v>
      </c>
      <c r="J528" s="35" t="s">
        <v>48</v>
      </c>
      <c r="K528" s="328" t="s">
        <v>3932</v>
      </c>
      <c r="L528" s="328" t="s">
        <v>3933</v>
      </c>
      <c r="M528" s="35" t="s">
        <v>67</v>
      </c>
      <c r="N528" s="327"/>
      <c r="O528" s="35" t="s">
        <v>26</v>
      </c>
    </row>
    <row r="529" spans="1:15" ht="13">
      <c r="A529" s="33">
        <v>43934.389870868057</v>
      </c>
      <c r="B529" s="35" t="s">
        <v>3934</v>
      </c>
      <c r="C529" s="35" t="s">
        <v>3936</v>
      </c>
      <c r="D529" s="35" t="s">
        <v>3929</v>
      </c>
      <c r="E529" s="328" t="s">
        <v>3937</v>
      </c>
      <c r="F529" s="328" t="s">
        <v>3938</v>
      </c>
      <c r="G529" s="35" t="s">
        <v>278</v>
      </c>
      <c r="H529" s="35" t="s">
        <v>33</v>
      </c>
      <c r="I529" s="35" t="s">
        <v>3939</v>
      </c>
      <c r="J529" s="35" t="s">
        <v>48</v>
      </c>
      <c r="L529" s="328" t="s">
        <v>3940</v>
      </c>
      <c r="M529" s="35" t="s">
        <v>67</v>
      </c>
      <c r="O529" s="35" t="s">
        <v>26</v>
      </c>
    </row>
    <row r="530" spans="1:15" ht="13">
      <c r="A530" s="33">
        <v>43934.43642489583</v>
      </c>
      <c r="B530" s="328" t="s">
        <v>1996</v>
      </c>
      <c r="C530" s="328" t="s">
        <v>1997</v>
      </c>
      <c r="D530" s="328" t="s">
        <v>1153</v>
      </c>
      <c r="E530" s="38" t="s">
        <v>1998</v>
      </c>
      <c r="F530" s="328" t="s">
        <v>2004</v>
      </c>
      <c r="G530" s="328" t="s">
        <v>63</v>
      </c>
      <c r="H530" s="328" t="s">
        <v>33</v>
      </c>
      <c r="I530" s="328" t="s">
        <v>425</v>
      </c>
      <c r="J530" s="328" t="s">
        <v>48</v>
      </c>
      <c r="K530" s="328" t="s">
        <v>2005</v>
      </c>
      <c r="L530" s="327"/>
      <c r="M530" s="328" t="s">
        <v>67</v>
      </c>
      <c r="N530" s="328" t="s">
        <v>67</v>
      </c>
      <c r="O530" s="35" t="s">
        <v>26</v>
      </c>
    </row>
    <row r="531" spans="1:15" ht="13">
      <c r="A531" s="33">
        <v>43934.552637592591</v>
      </c>
      <c r="B531" s="35" t="s">
        <v>5534</v>
      </c>
      <c r="C531" s="35" t="s">
        <v>1997</v>
      </c>
      <c r="D531" s="35" t="s">
        <v>3382</v>
      </c>
      <c r="E531" s="38" t="s">
        <v>5535</v>
      </c>
      <c r="F531" s="35" t="s">
        <v>5536</v>
      </c>
      <c r="G531" s="35" t="s">
        <v>63</v>
      </c>
      <c r="H531" s="35" t="s">
        <v>33</v>
      </c>
      <c r="I531" s="35" t="s">
        <v>5537</v>
      </c>
      <c r="J531" s="35" t="s">
        <v>48</v>
      </c>
      <c r="K531" s="327"/>
      <c r="L531" s="327"/>
      <c r="M531" s="35" t="s">
        <v>83</v>
      </c>
      <c r="N531" s="327"/>
      <c r="O531" s="35" t="s">
        <v>26</v>
      </c>
    </row>
    <row r="532" spans="1:15" ht="13" hidden="1">
      <c r="A532" s="33">
        <v>43934.798562037038</v>
      </c>
      <c r="B532" s="35" t="s">
        <v>4801</v>
      </c>
      <c r="C532" s="35" t="s">
        <v>4802</v>
      </c>
      <c r="D532" s="35" t="s">
        <v>4803</v>
      </c>
      <c r="E532" s="38" t="s">
        <v>4805</v>
      </c>
      <c r="F532" s="35" t="s">
        <v>4808</v>
      </c>
      <c r="G532" s="35" t="s">
        <v>4809</v>
      </c>
      <c r="H532" s="35" t="s">
        <v>4810</v>
      </c>
      <c r="I532" s="35" t="s">
        <v>4811</v>
      </c>
      <c r="J532" s="35" t="s">
        <v>104</v>
      </c>
      <c r="K532" s="35" t="s">
        <v>4812</v>
      </c>
      <c r="L532" s="35" t="s">
        <v>4813</v>
      </c>
      <c r="M532" s="35" t="s">
        <v>67</v>
      </c>
      <c r="O532" s="35" t="s">
        <v>26</v>
      </c>
    </row>
    <row r="533" spans="1:15" ht="13">
      <c r="A533" s="33">
        <v>43934.799541296292</v>
      </c>
      <c r="B533" s="35" t="s">
        <v>2922</v>
      </c>
      <c r="C533" s="35" t="s">
        <v>2924</v>
      </c>
      <c r="D533" s="35" t="s">
        <v>2925</v>
      </c>
      <c r="E533" s="38" t="s">
        <v>2926</v>
      </c>
      <c r="F533" s="35" t="s">
        <v>2929</v>
      </c>
      <c r="G533" s="35" t="s">
        <v>505</v>
      </c>
      <c r="H533" s="35" t="s">
        <v>33</v>
      </c>
      <c r="I533" s="35" t="s">
        <v>2930</v>
      </c>
      <c r="J533" s="35" t="s">
        <v>48</v>
      </c>
      <c r="K533" s="327"/>
      <c r="L533" s="327"/>
      <c r="M533" s="35" t="s">
        <v>67</v>
      </c>
      <c r="O533" s="35" t="s">
        <v>26</v>
      </c>
    </row>
    <row r="534" spans="1:15" ht="13" hidden="1">
      <c r="A534" s="33">
        <v>43934.867127569443</v>
      </c>
      <c r="B534" s="35" t="s">
        <v>4824</v>
      </c>
      <c r="C534" s="35" t="s">
        <v>4825</v>
      </c>
      <c r="D534" s="35" t="s">
        <v>4826</v>
      </c>
      <c r="E534" s="38" t="s">
        <v>4827</v>
      </c>
      <c r="F534" s="35" t="s">
        <v>4828</v>
      </c>
      <c r="G534" s="35" t="s">
        <v>4829</v>
      </c>
      <c r="H534" s="35" t="s">
        <v>46</v>
      </c>
      <c r="I534" s="35" t="s">
        <v>4831</v>
      </c>
      <c r="J534" s="35" t="s">
        <v>35</v>
      </c>
      <c r="M534" s="35" t="s">
        <v>83</v>
      </c>
      <c r="N534" s="35" t="s">
        <v>4833</v>
      </c>
      <c r="O534" s="35" t="s">
        <v>26</v>
      </c>
    </row>
    <row r="535" spans="1:15" ht="13" hidden="1">
      <c r="A535" s="33">
        <v>43934.870500914352</v>
      </c>
      <c r="B535" s="35" t="s">
        <v>4834</v>
      </c>
      <c r="C535" s="35" t="s">
        <v>4835</v>
      </c>
      <c r="D535" s="35" t="s">
        <v>4836</v>
      </c>
      <c r="E535" s="38" t="s">
        <v>4837</v>
      </c>
      <c r="F535" s="35" t="s">
        <v>4838</v>
      </c>
      <c r="G535" s="35" t="s">
        <v>4839</v>
      </c>
      <c r="H535" s="35" t="s">
        <v>46</v>
      </c>
      <c r="I535" s="35" t="s">
        <v>4840</v>
      </c>
      <c r="J535" s="35" t="s">
        <v>48</v>
      </c>
      <c r="K535" s="35" t="s">
        <v>4841</v>
      </c>
      <c r="M535" s="35" t="s">
        <v>67</v>
      </c>
      <c r="N535" s="35" t="s">
        <v>4842</v>
      </c>
      <c r="O535" s="35" t="s">
        <v>26</v>
      </c>
    </row>
    <row r="536" spans="1:15" ht="13">
      <c r="A536" s="33">
        <v>43934.93457917824</v>
      </c>
      <c r="B536" s="35" t="s">
        <v>4004</v>
      </c>
      <c r="C536" s="35" t="s">
        <v>4005</v>
      </c>
      <c r="D536" s="35" t="s">
        <v>4006</v>
      </c>
      <c r="E536" s="38" t="s">
        <v>4007</v>
      </c>
      <c r="F536" s="35" t="s">
        <v>4008</v>
      </c>
      <c r="G536" s="35" t="s">
        <v>32</v>
      </c>
      <c r="H536" s="35" t="s">
        <v>33</v>
      </c>
      <c r="I536" s="35" t="s">
        <v>4009</v>
      </c>
      <c r="J536" s="35" t="s">
        <v>48</v>
      </c>
      <c r="K536" s="327"/>
      <c r="L536" s="327"/>
      <c r="M536" s="35" t="s">
        <v>83</v>
      </c>
      <c r="N536" s="327"/>
      <c r="O536" s="35" t="s">
        <v>26</v>
      </c>
    </row>
    <row r="537" spans="1:15" ht="13" hidden="1">
      <c r="A537" s="33">
        <v>43934.953755532406</v>
      </c>
      <c r="B537" s="35" t="s">
        <v>4851</v>
      </c>
      <c r="C537" s="35" t="s">
        <v>4852</v>
      </c>
      <c r="D537" s="35" t="s">
        <v>1577</v>
      </c>
      <c r="E537" s="38" t="s">
        <v>4853</v>
      </c>
      <c r="F537" s="35" t="s">
        <v>4854</v>
      </c>
      <c r="G537" s="35" t="s">
        <v>214</v>
      </c>
      <c r="H537" s="35" t="s">
        <v>506</v>
      </c>
      <c r="I537" s="35" t="s">
        <v>4855</v>
      </c>
      <c r="J537" s="35" t="s">
        <v>104</v>
      </c>
      <c r="K537" s="35" t="s">
        <v>4856</v>
      </c>
      <c r="M537" s="35" t="s">
        <v>83</v>
      </c>
      <c r="N537" s="35" t="s">
        <v>255</v>
      </c>
      <c r="O537" s="35" t="s">
        <v>26</v>
      </c>
    </row>
    <row r="538" spans="1:15" ht="13" hidden="1">
      <c r="A538" s="33">
        <v>43934.96422760417</v>
      </c>
      <c r="B538" s="35" t="s">
        <v>4857</v>
      </c>
      <c r="C538" s="35" t="s">
        <v>2972</v>
      </c>
      <c r="D538" s="35" t="s">
        <v>3382</v>
      </c>
      <c r="E538" s="38" t="s">
        <v>4858</v>
      </c>
      <c r="F538" s="35" t="s">
        <v>4865</v>
      </c>
      <c r="G538" s="35" t="s">
        <v>1739</v>
      </c>
      <c r="H538" s="35" t="s">
        <v>4867</v>
      </c>
      <c r="I538" s="35" t="s">
        <v>4868</v>
      </c>
      <c r="J538" s="35" t="s">
        <v>48</v>
      </c>
      <c r="K538" s="35" t="s">
        <v>4869</v>
      </c>
      <c r="L538" s="35" t="s">
        <v>4870</v>
      </c>
      <c r="M538" s="35" t="s">
        <v>67</v>
      </c>
      <c r="O538" s="35" t="s">
        <v>26</v>
      </c>
    </row>
    <row r="539" spans="1:15" ht="13">
      <c r="A539" s="33">
        <v>43934.980015578709</v>
      </c>
      <c r="B539" s="35" t="s">
        <v>1951</v>
      </c>
      <c r="C539" s="35" t="s">
        <v>1952</v>
      </c>
      <c r="D539" s="35" t="s">
        <v>1953</v>
      </c>
      <c r="E539" s="38" t="s">
        <v>1954</v>
      </c>
      <c r="F539" s="35" t="s">
        <v>1959</v>
      </c>
      <c r="G539" s="35" t="s">
        <v>505</v>
      </c>
      <c r="H539" s="35" t="s">
        <v>33</v>
      </c>
      <c r="I539" s="35" t="s">
        <v>1961</v>
      </c>
      <c r="J539" s="35" t="s">
        <v>48</v>
      </c>
      <c r="K539" s="328" t="s">
        <v>1962</v>
      </c>
      <c r="L539" s="328" t="s">
        <v>1963</v>
      </c>
      <c r="M539" s="35" t="s">
        <v>83</v>
      </c>
      <c r="N539" s="328" t="s">
        <v>1964</v>
      </c>
      <c r="O539" s="35" t="s">
        <v>26</v>
      </c>
    </row>
    <row r="540" spans="1:15" ht="13" hidden="1">
      <c r="A540" s="33">
        <v>43935.002119201388</v>
      </c>
      <c r="B540" s="35" t="s">
        <v>4877</v>
      </c>
      <c r="C540" s="35" t="s">
        <v>4878</v>
      </c>
      <c r="D540" s="35" t="s">
        <v>4879</v>
      </c>
      <c r="E540" s="38" t="s">
        <v>4881</v>
      </c>
      <c r="F540" s="35" t="s">
        <v>4887</v>
      </c>
      <c r="G540" s="35" t="s">
        <v>4888</v>
      </c>
      <c r="H540" s="35" t="s">
        <v>46</v>
      </c>
      <c r="I540" s="35" t="s">
        <v>4889</v>
      </c>
      <c r="J540" s="35" t="s">
        <v>104</v>
      </c>
      <c r="M540" s="35" t="s">
        <v>67</v>
      </c>
      <c r="N540" s="35" t="s">
        <v>4890</v>
      </c>
      <c r="O540" s="35" t="s">
        <v>26</v>
      </c>
    </row>
    <row r="541" spans="1:15" ht="13">
      <c r="A541" s="33">
        <v>43935.014135150464</v>
      </c>
      <c r="B541" s="35" t="s">
        <v>9607</v>
      </c>
      <c r="C541" s="324" t="s">
        <v>9608</v>
      </c>
      <c r="D541" s="324" t="s">
        <v>6286</v>
      </c>
      <c r="E541" s="323" t="s">
        <v>9609</v>
      </c>
      <c r="F541" s="327"/>
      <c r="G541" s="324" t="s">
        <v>32</v>
      </c>
      <c r="H541" s="324" t="s">
        <v>33</v>
      </c>
      <c r="I541" s="324" t="s">
        <v>9546</v>
      </c>
      <c r="J541" s="324" t="s">
        <v>48</v>
      </c>
      <c r="K541" s="327"/>
      <c r="L541" s="327"/>
      <c r="M541" s="324" t="s">
        <v>83</v>
      </c>
      <c r="N541" s="324" t="s">
        <v>9551</v>
      </c>
      <c r="O541" s="35" t="s">
        <v>26</v>
      </c>
    </row>
    <row r="542" spans="1:15" ht="13">
      <c r="A542" s="33">
        <v>43935.026761597226</v>
      </c>
      <c r="B542" s="35" t="s">
        <v>1453</v>
      </c>
      <c r="C542" s="35" t="s">
        <v>1454</v>
      </c>
      <c r="D542" s="38" t="s">
        <v>1231</v>
      </c>
      <c r="E542" s="328" t="s">
        <v>1456</v>
      </c>
      <c r="F542" s="35" t="s">
        <v>1457</v>
      </c>
      <c r="G542" s="35" t="s">
        <v>802</v>
      </c>
      <c r="H542" s="35" t="s">
        <v>33</v>
      </c>
      <c r="I542" s="35" t="s">
        <v>1460</v>
      </c>
      <c r="J542" s="35" t="s">
        <v>48</v>
      </c>
      <c r="K542" s="327"/>
      <c r="L542" s="327"/>
      <c r="M542" s="35" t="s">
        <v>83</v>
      </c>
      <c r="O542" s="35" t="s">
        <v>26</v>
      </c>
    </row>
    <row r="543" spans="1:15" ht="13" hidden="1">
      <c r="A543" s="33">
        <v>43935.069171388888</v>
      </c>
      <c r="B543" s="35" t="s">
        <v>4910</v>
      </c>
      <c r="C543" s="35" t="s">
        <v>4911</v>
      </c>
      <c r="D543" s="35" t="s">
        <v>4912</v>
      </c>
      <c r="E543" s="38" t="s">
        <v>4913</v>
      </c>
      <c r="F543" s="35" t="s">
        <v>4916</v>
      </c>
      <c r="G543" s="35" t="s">
        <v>709</v>
      </c>
      <c r="H543" s="35" t="s">
        <v>2618</v>
      </c>
      <c r="I543" s="35" t="s">
        <v>2458</v>
      </c>
      <c r="J543" s="35" t="s">
        <v>35</v>
      </c>
      <c r="M543" s="35" t="s">
        <v>83</v>
      </c>
      <c r="O543" s="35" t="s">
        <v>26</v>
      </c>
    </row>
    <row r="544" spans="1:15" ht="13">
      <c r="A544" s="33">
        <v>43935.10068560185</v>
      </c>
      <c r="B544" s="35" t="s">
        <v>5601</v>
      </c>
      <c r="C544" s="35" t="s">
        <v>5602</v>
      </c>
      <c r="D544" s="35" t="s">
        <v>5555</v>
      </c>
      <c r="E544" s="328" t="s">
        <v>5601</v>
      </c>
      <c r="F544" s="35" t="s">
        <v>5603</v>
      </c>
      <c r="G544" s="35" t="s">
        <v>1278</v>
      </c>
      <c r="H544" s="35" t="s">
        <v>33</v>
      </c>
      <c r="I544" s="35" t="s">
        <v>5605</v>
      </c>
      <c r="J544" s="35" t="s">
        <v>104</v>
      </c>
      <c r="M544" s="35" t="s">
        <v>83</v>
      </c>
      <c r="O544" s="35" t="s">
        <v>26</v>
      </c>
    </row>
    <row r="545" spans="1:15" ht="13" hidden="1">
      <c r="A545" s="33">
        <v>43935.142280706015</v>
      </c>
      <c r="B545" s="35" t="s">
        <v>4925</v>
      </c>
      <c r="C545" s="35" t="s">
        <v>3102</v>
      </c>
      <c r="D545" s="35" t="s">
        <v>4926</v>
      </c>
      <c r="E545" s="38" t="s">
        <v>4927</v>
      </c>
      <c r="F545" s="35" t="s">
        <v>4928</v>
      </c>
      <c r="G545" s="35" t="s">
        <v>4929</v>
      </c>
      <c r="H545" s="35" t="s">
        <v>1663</v>
      </c>
      <c r="I545" s="35" t="s">
        <v>4930</v>
      </c>
      <c r="J545" s="35" t="s">
        <v>746</v>
      </c>
      <c r="M545" s="35" t="s">
        <v>83</v>
      </c>
      <c r="N545" s="35" t="s">
        <v>4931</v>
      </c>
      <c r="O545" s="35" t="s">
        <v>26</v>
      </c>
    </row>
    <row r="546" spans="1:15" ht="13">
      <c r="A546" s="33">
        <v>43935.164541168982</v>
      </c>
      <c r="B546" s="35" t="s">
        <v>3070</v>
      </c>
      <c r="C546" s="35" t="s">
        <v>3071</v>
      </c>
      <c r="D546" s="35" t="s">
        <v>3072</v>
      </c>
      <c r="E546" s="38" t="s">
        <v>3074</v>
      </c>
      <c r="F546" s="35" t="s">
        <v>3077</v>
      </c>
      <c r="G546" s="35" t="s">
        <v>1823</v>
      </c>
      <c r="H546" s="35" t="s">
        <v>33</v>
      </c>
      <c r="I546" s="35" t="s">
        <v>3078</v>
      </c>
      <c r="J546" s="35" t="s">
        <v>35</v>
      </c>
      <c r="K546" s="35" t="s">
        <v>3079</v>
      </c>
      <c r="L546" s="327"/>
      <c r="M546" s="35" t="s">
        <v>83</v>
      </c>
      <c r="O546" s="35" t="s">
        <v>26</v>
      </c>
    </row>
    <row r="547" spans="1:15" ht="13">
      <c r="A547" s="33">
        <v>43935.200495497687</v>
      </c>
      <c r="B547" s="35" t="s">
        <v>6265</v>
      </c>
      <c r="C547" s="35" t="s">
        <v>6266</v>
      </c>
      <c r="D547" s="35" t="s">
        <v>1153</v>
      </c>
      <c r="E547" s="38" t="s">
        <v>6267</v>
      </c>
      <c r="F547" s="35" t="s">
        <v>6273</v>
      </c>
      <c r="G547" s="35" t="s">
        <v>322</v>
      </c>
      <c r="H547" s="35" t="s">
        <v>33</v>
      </c>
      <c r="I547" s="35" t="s">
        <v>6275</v>
      </c>
      <c r="J547" s="35" t="s">
        <v>48</v>
      </c>
      <c r="M547" s="35" t="s">
        <v>83</v>
      </c>
      <c r="O547" s="35" t="s">
        <v>26</v>
      </c>
    </row>
    <row r="548" spans="1:15" ht="13">
      <c r="A548" s="33">
        <v>43935.205886851851</v>
      </c>
      <c r="B548" s="35" t="s">
        <v>7151</v>
      </c>
      <c r="C548" s="35" t="s">
        <v>7153</v>
      </c>
      <c r="D548" s="35" t="s">
        <v>7154</v>
      </c>
      <c r="E548" s="38" t="s">
        <v>7155</v>
      </c>
      <c r="F548" s="327"/>
      <c r="G548" s="35" t="s">
        <v>7156</v>
      </c>
      <c r="H548" s="35" t="s">
        <v>33</v>
      </c>
      <c r="I548" s="328" t="s">
        <v>7157</v>
      </c>
      <c r="J548" s="35" t="s">
        <v>48</v>
      </c>
      <c r="K548" s="327"/>
      <c r="L548" s="328" t="s">
        <v>7158</v>
      </c>
      <c r="M548" s="35" t="s">
        <v>83</v>
      </c>
      <c r="O548" s="35" t="s">
        <v>26</v>
      </c>
    </row>
    <row r="549" spans="1:15" ht="13" hidden="1">
      <c r="A549" s="33">
        <v>43935.281679340274</v>
      </c>
      <c r="B549" s="35" t="s">
        <v>4958</v>
      </c>
      <c r="C549" s="35" t="s">
        <v>4959</v>
      </c>
      <c r="D549" s="35" t="s">
        <v>4960</v>
      </c>
      <c r="E549" s="38" t="s">
        <v>4961</v>
      </c>
      <c r="F549" s="35" t="s">
        <v>4962</v>
      </c>
      <c r="G549" s="35" t="s">
        <v>214</v>
      </c>
      <c r="H549" s="35" t="s">
        <v>46</v>
      </c>
      <c r="I549" s="35" t="s">
        <v>4963</v>
      </c>
      <c r="J549" s="35" t="s">
        <v>81</v>
      </c>
      <c r="K549" s="35" t="s">
        <v>4964</v>
      </c>
      <c r="M549" s="35" t="s">
        <v>83</v>
      </c>
      <c r="N549" s="35" t="s">
        <v>4965</v>
      </c>
      <c r="O549" s="35" t="s">
        <v>26</v>
      </c>
    </row>
    <row r="550" spans="1:15" ht="13" hidden="1">
      <c r="A550" s="33">
        <v>43935.374464236113</v>
      </c>
      <c r="B550" s="35" t="s">
        <v>4966</v>
      </c>
      <c r="C550" s="35" t="s">
        <v>4967</v>
      </c>
      <c r="D550" s="35" t="s">
        <v>4968</v>
      </c>
      <c r="E550" s="38" t="s">
        <v>4969</v>
      </c>
      <c r="F550" s="35" t="s">
        <v>4972</v>
      </c>
      <c r="G550" s="35" t="s">
        <v>4973</v>
      </c>
      <c r="H550" s="35" t="s">
        <v>46</v>
      </c>
      <c r="I550" s="35" t="s">
        <v>4974</v>
      </c>
      <c r="J550" s="35" t="s">
        <v>81</v>
      </c>
      <c r="M550" s="35" t="s">
        <v>83</v>
      </c>
      <c r="O550" s="35" t="s">
        <v>26</v>
      </c>
    </row>
    <row r="551" spans="1:15" ht="13" hidden="1">
      <c r="A551" s="33">
        <v>43935.483848344906</v>
      </c>
      <c r="B551" s="35" t="s">
        <v>4977</v>
      </c>
      <c r="C551" s="35" t="s">
        <v>4979</v>
      </c>
      <c r="D551" s="35" t="s">
        <v>4981</v>
      </c>
      <c r="E551" s="38" t="s">
        <v>4983</v>
      </c>
      <c r="F551" s="35" t="s">
        <v>4984</v>
      </c>
      <c r="G551" s="35" t="s">
        <v>161</v>
      </c>
      <c r="H551" s="35" t="s">
        <v>4540</v>
      </c>
      <c r="I551" s="35" t="s">
        <v>388</v>
      </c>
      <c r="J551" s="35" t="s">
        <v>35</v>
      </c>
      <c r="K551" s="35" t="s">
        <v>4986</v>
      </c>
      <c r="L551" s="35" t="s">
        <v>4987</v>
      </c>
      <c r="M551" s="35" t="s">
        <v>67</v>
      </c>
      <c r="N551" s="35" t="s">
        <v>4988</v>
      </c>
      <c r="O551" s="35" t="s">
        <v>26</v>
      </c>
    </row>
    <row r="552" spans="1:15" ht="13" hidden="1">
      <c r="A552" s="33">
        <v>43935.772568379631</v>
      </c>
      <c r="B552" s="35" t="s">
        <v>4989</v>
      </c>
      <c r="C552" s="35" t="s">
        <v>4990</v>
      </c>
      <c r="D552" s="35" t="s">
        <v>4185</v>
      </c>
      <c r="E552" s="38" t="s">
        <v>4991</v>
      </c>
      <c r="F552" s="35" t="s">
        <v>4995</v>
      </c>
      <c r="G552" s="35" t="s">
        <v>32</v>
      </c>
      <c r="H552" s="35" t="s">
        <v>46</v>
      </c>
      <c r="I552" s="35" t="s">
        <v>4996</v>
      </c>
      <c r="J552" s="35" t="s">
        <v>35</v>
      </c>
      <c r="K552" s="35" t="s">
        <v>4997</v>
      </c>
      <c r="M552" s="35" t="s">
        <v>83</v>
      </c>
      <c r="O552" s="35" t="s">
        <v>26</v>
      </c>
    </row>
    <row r="553" spans="1:15" ht="13" hidden="1">
      <c r="A553" s="33">
        <v>43935.789207754628</v>
      </c>
      <c r="B553" s="35" t="s">
        <v>4998</v>
      </c>
      <c r="C553" s="35" t="s">
        <v>4999</v>
      </c>
      <c r="D553" s="35" t="s">
        <v>5000</v>
      </c>
      <c r="E553" s="38" t="s">
        <v>5001</v>
      </c>
      <c r="F553" s="35" t="s">
        <v>5002</v>
      </c>
      <c r="G553" s="35" t="s">
        <v>519</v>
      </c>
      <c r="H553" s="35" t="s">
        <v>387</v>
      </c>
      <c r="I553" s="35" t="s">
        <v>453</v>
      </c>
      <c r="J553" s="35" t="s">
        <v>104</v>
      </c>
      <c r="M553" s="35" t="s">
        <v>83</v>
      </c>
      <c r="O553" s="35" t="s">
        <v>26</v>
      </c>
    </row>
    <row r="554" spans="1:15" ht="13" hidden="1">
      <c r="A554" s="33">
        <v>43935.819421527776</v>
      </c>
      <c r="B554" s="35" t="s">
        <v>5003</v>
      </c>
      <c r="C554" s="35" t="s">
        <v>5004</v>
      </c>
      <c r="D554" s="35" t="s">
        <v>5005</v>
      </c>
      <c r="E554" s="38" t="s">
        <v>5006</v>
      </c>
      <c r="F554" s="35" t="s">
        <v>5007</v>
      </c>
      <c r="G554" s="35" t="s">
        <v>424</v>
      </c>
      <c r="H554" s="35" t="s">
        <v>46</v>
      </c>
      <c r="I554" s="35" t="s">
        <v>5009</v>
      </c>
      <c r="J554" s="35" t="s">
        <v>81</v>
      </c>
      <c r="K554" s="35" t="s">
        <v>5010</v>
      </c>
      <c r="L554" s="35" t="s">
        <v>5011</v>
      </c>
      <c r="M554" s="35" t="s">
        <v>83</v>
      </c>
      <c r="N554" s="35" t="s">
        <v>5013</v>
      </c>
      <c r="O554" s="35" t="s">
        <v>26</v>
      </c>
    </row>
    <row r="555" spans="1:15" ht="13" hidden="1">
      <c r="A555" s="33">
        <v>43935.824881527777</v>
      </c>
      <c r="B555" s="35" t="s">
        <v>5015</v>
      </c>
      <c r="C555" s="35" t="s">
        <v>5016</v>
      </c>
      <c r="D555" s="35" t="s">
        <v>5005</v>
      </c>
      <c r="E555" s="38" t="s">
        <v>5018</v>
      </c>
      <c r="F555" s="35" t="s">
        <v>5022</v>
      </c>
      <c r="G555" s="35" t="s">
        <v>5023</v>
      </c>
      <c r="H555" s="35" t="s">
        <v>46</v>
      </c>
      <c r="I555" s="35" t="s">
        <v>5024</v>
      </c>
      <c r="J555" s="35" t="s">
        <v>104</v>
      </c>
      <c r="K555" s="35" t="s">
        <v>5025</v>
      </c>
      <c r="L555" s="35" t="s">
        <v>5026</v>
      </c>
      <c r="M555" s="35" t="s">
        <v>67</v>
      </c>
      <c r="N555" s="35" t="s">
        <v>5027</v>
      </c>
      <c r="O555" s="35" t="s">
        <v>26</v>
      </c>
    </row>
    <row r="556" spans="1:15" ht="13" hidden="1">
      <c r="A556" s="33">
        <v>43935.827875462965</v>
      </c>
      <c r="B556" s="35" t="s">
        <v>5028</v>
      </c>
      <c r="C556" s="35" t="s">
        <v>5029</v>
      </c>
      <c r="D556" s="35" t="s">
        <v>5005</v>
      </c>
      <c r="E556" s="38" t="s">
        <v>5030</v>
      </c>
      <c r="F556" s="35" t="s">
        <v>5032</v>
      </c>
      <c r="G556" s="35" t="s">
        <v>363</v>
      </c>
      <c r="H556" s="35" t="s">
        <v>46</v>
      </c>
      <c r="I556" s="35" t="s">
        <v>5033</v>
      </c>
      <c r="J556" s="35" t="s">
        <v>48</v>
      </c>
      <c r="K556" s="35" t="s">
        <v>5034</v>
      </c>
      <c r="M556" s="35" t="s">
        <v>83</v>
      </c>
      <c r="N556" s="35" t="s">
        <v>5035</v>
      </c>
      <c r="O556" s="35" t="s">
        <v>26</v>
      </c>
    </row>
    <row r="557" spans="1:15" ht="13" hidden="1">
      <c r="A557" s="33">
        <v>43935.837532511578</v>
      </c>
      <c r="B557" s="35" t="s">
        <v>5036</v>
      </c>
      <c r="C557" s="35" t="s">
        <v>5037</v>
      </c>
      <c r="D557" s="35" t="s">
        <v>5005</v>
      </c>
      <c r="E557" s="38" t="s">
        <v>5038</v>
      </c>
      <c r="F557" s="35" t="s">
        <v>5041</v>
      </c>
      <c r="G557" s="35" t="s">
        <v>394</v>
      </c>
      <c r="H557" s="35" t="s">
        <v>46</v>
      </c>
      <c r="I557" s="35" t="s">
        <v>5003</v>
      </c>
      <c r="J557" s="35" t="s">
        <v>48</v>
      </c>
      <c r="M557" s="35" t="s">
        <v>67</v>
      </c>
      <c r="N557" s="35" t="s">
        <v>551</v>
      </c>
      <c r="O557" s="35" t="s">
        <v>26</v>
      </c>
    </row>
    <row r="558" spans="1:15" ht="13">
      <c r="A558" s="33">
        <v>43935.854740358795</v>
      </c>
      <c r="B558" s="35" t="s">
        <v>8294</v>
      </c>
      <c r="C558" s="35" t="s">
        <v>8295</v>
      </c>
      <c r="D558" s="35" t="s">
        <v>6302</v>
      </c>
      <c r="E558" s="38" t="s">
        <v>8296</v>
      </c>
      <c r="F558" s="327"/>
      <c r="G558" s="35" t="s">
        <v>505</v>
      </c>
      <c r="H558" s="35" t="s">
        <v>33</v>
      </c>
      <c r="I558" s="35" t="s">
        <v>8300</v>
      </c>
      <c r="J558" s="35" t="s">
        <v>48</v>
      </c>
      <c r="K558" s="328" t="s">
        <v>8303</v>
      </c>
      <c r="L558" s="328" t="s">
        <v>8304</v>
      </c>
      <c r="M558" s="35" t="s">
        <v>83</v>
      </c>
      <c r="N558" s="328" t="s">
        <v>8306</v>
      </c>
      <c r="O558" s="35" t="s">
        <v>26</v>
      </c>
    </row>
    <row r="559" spans="1:15" ht="13" hidden="1">
      <c r="A559" s="33">
        <v>43935.874700983797</v>
      </c>
      <c r="B559" s="35" t="s">
        <v>5051</v>
      </c>
      <c r="C559" s="35" t="s">
        <v>1267</v>
      </c>
      <c r="D559" s="35" t="s">
        <v>5052</v>
      </c>
      <c r="E559" s="38" t="s">
        <v>5053</v>
      </c>
      <c r="F559" s="35" t="s">
        <v>5054</v>
      </c>
      <c r="G559" s="35" t="s">
        <v>1471</v>
      </c>
      <c r="H559" s="35" t="s">
        <v>46</v>
      </c>
      <c r="I559" s="35" t="s">
        <v>5055</v>
      </c>
      <c r="J559" s="35" t="s">
        <v>35</v>
      </c>
      <c r="K559" s="35" t="s">
        <v>5056</v>
      </c>
      <c r="L559" s="35" t="s">
        <v>5057</v>
      </c>
      <c r="M559" s="35" t="s">
        <v>67</v>
      </c>
      <c r="N559" s="35" t="s">
        <v>5059</v>
      </c>
      <c r="O559" s="35" t="s">
        <v>26</v>
      </c>
    </row>
    <row r="560" spans="1:15" ht="13">
      <c r="A560" s="33">
        <v>43935.881214074077</v>
      </c>
      <c r="B560" s="35" t="s">
        <v>4843</v>
      </c>
      <c r="C560" s="35" t="s">
        <v>4844</v>
      </c>
      <c r="D560" s="35" t="s">
        <v>3994</v>
      </c>
      <c r="E560" s="38" t="s">
        <v>4845</v>
      </c>
      <c r="F560" s="35" t="s">
        <v>4846</v>
      </c>
      <c r="G560" s="35" t="s">
        <v>63</v>
      </c>
      <c r="H560" s="35" t="s">
        <v>33</v>
      </c>
      <c r="I560" s="35" t="s">
        <v>4848</v>
      </c>
      <c r="J560" s="35" t="s">
        <v>48</v>
      </c>
      <c r="K560" s="327"/>
      <c r="L560" s="327"/>
      <c r="M560" s="35" t="s">
        <v>67</v>
      </c>
      <c r="O560" s="35" t="s">
        <v>26</v>
      </c>
    </row>
    <row r="561" spans="1:15" ht="13">
      <c r="A561" s="33">
        <v>43935.883250567131</v>
      </c>
      <c r="B561" s="35" t="s">
        <v>6089</v>
      </c>
      <c r="C561" s="35" t="s">
        <v>6090</v>
      </c>
      <c r="D561" s="35" t="s">
        <v>6091</v>
      </c>
      <c r="E561" s="38" t="s">
        <v>6092</v>
      </c>
      <c r="F561" s="35" t="s">
        <v>6096</v>
      </c>
      <c r="G561" s="35" t="s">
        <v>322</v>
      </c>
      <c r="H561" s="35" t="s">
        <v>33</v>
      </c>
      <c r="I561" s="328" t="s">
        <v>6097</v>
      </c>
      <c r="J561" s="328" t="s">
        <v>48</v>
      </c>
      <c r="K561" s="328" t="s">
        <v>6098</v>
      </c>
      <c r="L561" s="328" t="s">
        <v>6099</v>
      </c>
      <c r="M561" s="328" t="s">
        <v>67</v>
      </c>
      <c r="N561" s="328" t="s">
        <v>6100</v>
      </c>
      <c r="O561" s="35" t="s">
        <v>26</v>
      </c>
    </row>
    <row r="562" spans="1:15" ht="13">
      <c r="A562" s="33">
        <v>43935.885880729169</v>
      </c>
      <c r="B562" s="328" t="s">
        <v>4576</v>
      </c>
      <c r="C562" s="328" t="s">
        <v>4577</v>
      </c>
      <c r="D562" s="328" t="s">
        <v>4578</v>
      </c>
      <c r="E562" s="38" t="s">
        <v>4579</v>
      </c>
      <c r="F562" s="328" t="s">
        <v>4581</v>
      </c>
      <c r="G562" s="328" t="s">
        <v>322</v>
      </c>
      <c r="H562" s="328" t="s">
        <v>33</v>
      </c>
      <c r="I562" s="328" t="s">
        <v>4582</v>
      </c>
      <c r="J562" s="328" t="s">
        <v>48</v>
      </c>
      <c r="K562" s="328" t="s">
        <v>4583</v>
      </c>
      <c r="L562" s="327"/>
      <c r="M562" s="328" t="s">
        <v>83</v>
      </c>
      <c r="N562" s="327"/>
      <c r="O562" s="35" t="s">
        <v>26</v>
      </c>
    </row>
    <row r="563" spans="1:15" ht="13">
      <c r="A563" s="33">
        <v>43935.902762523147</v>
      </c>
      <c r="B563" s="35" t="s">
        <v>4092</v>
      </c>
      <c r="C563" s="35" t="s">
        <v>1524</v>
      </c>
      <c r="D563" s="35" t="s">
        <v>4093</v>
      </c>
      <c r="E563" s="328" t="s">
        <v>4094</v>
      </c>
      <c r="F563" s="35" t="s">
        <v>4095</v>
      </c>
      <c r="G563" s="35" t="s">
        <v>519</v>
      </c>
      <c r="H563" s="35" t="s">
        <v>33</v>
      </c>
      <c r="I563" s="35" t="s">
        <v>4096</v>
      </c>
      <c r="J563" s="35" t="s">
        <v>35</v>
      </c>
      <c r="K563" s="327"/>
      <c r="L563" s="327"/>
      <c r="M563" s="35" t="s">
        <v>83</v>
      </c>
      <c r="N563" s="327"/>
      <c r="O563" s="35" t="s">
        <v>26</v>
      </c>
    </row>
    <row r="564" spans="1:15" ht="13" hidden="1">
      <c r="A564" s="33">
        <v>43935.904150821763</v>
      </c>
      <c r="B564" s="35" t="s">
        <v>5096</v>
      </c>
      <c r="C564" s="35" t="s">
        <v>5097</v>
      </c>
      <c r="D564" s="35" t="s">
        <v>5098</v>
      </c>
      <c r="E564" s="38" t="s">
        <v>5099</v>
      </c>
      <c r="F564" s="35" t="s">
        <v>5100</v>
      </c>
      <c r="G564" s="35" t="s">
        <v>5101</v>
      </c>
      <c r="H564" s="35" t="s">
        <v>46</v>
      </c>
      <c r="I564" s="35" t="s">
        <v>5103</v>
      </c>
      <c r="J564" s="35" t="s">
        <v>81</v>
      </c>
      <c r="K564" s="35" t="s">
        <v>5104</v>
      </c>
      <c r="M564" s="35" t="s">
        <v>67</v>
      </c>
      <c r="N564" s="35" t="s">
        <v>280</v>
      </c>
      <c r="O564" s="35" t="s">
        <v>26</v>
      </c>
    </row>
    <row r="565" spans="1:15" ht="13">
      <c r="A565" s="33">
        <v>43935.904386249997</v>
      </c>
      <c r="B565" s="35" t="s">
        <v>4506</v>
      </c>
      <c r="C565" s="35" t="s">
        <v>1671</v>
      </c>
      <c r="D565" s="35" t="s">
        <v>4507</v>
      </c>
      <c r="E565" s="38" t="s">
        <v>4508</v>
      </c>
      <c r="F565" s="328" t="s">
        <v>4512</v>
      </c>
      <c r="G565" s="35" t="s">
        <v>63</v>
      </c>
      <c r="H565" s="35" t="s">
        <v>33</v>
      </c>
      <c r="I565" s="35" t="s">
        <v>4513</v>
      </c>
      <c r="J565" s="35" t="s">
        <v>35</v>
      </c>
      <c r="K565" s="328" t="s">
        <v>4514</v>
      </c>
      <c r="L565" s="328" t="s">
        <v>4515</v>
      </c>
      <c r="M565" s="35" t="s">
        <v>83</v>
      </c>
      <c r="O565" s="35" t="s">
        <v>26</v>
      </c>
    </row>
    <row r="566" spans="1:15" ht="13">
      <c r="A566" s="33">
        <v>43935.906888124999</v>
      </c>
      <c r="B566" s="35" t="s">
        <v>6290</v>
      </c>
      <c r="C566" s="35" t="s">
        <v>1646</v>
      </c>
      <c r="D566" s="35" t="s">
        <v>6292</v>
      </c>
      <c r="E566" s="328" t="s">
        <v>6293</v>
      </c>
      <c r="F566" s="328" t="s">
        <v>6294</v>
      </c>
      <c r="G566" s="35" t="s">
        <v>63</v>
      </c>
      <c r="H566" s="35" t="s">
        <v>33</v>
      </c>
      <c r="I566" s="35" t="s">
        <v>6297</v>
      </c>
      <c r="J566" s="35" t="s">
        <v>48</v>
      </c>
      <c r="K566" s="328" t="s">
        <v>6298</v>
      </c>
      <c r="L566" s="328" t="s">
        <v>6299</v>
      </c>
      <c r="M566" s="35" t="s">
        <v>67</v>
      </c>
      <c r="N566" s="327"/>
      <c r="O566" s="35" t="s">
        <v>26</v>
      </c>
    </row>
    <row r="567" spans="1:15" ht="13">
      <c r="A567" s="33">
        <v>43935.908599930553</v>
      </c>
      <c r="B567" s="35" t="s">
        <v>9460</v>
      </c>
      <c r="C567" s="35" t="s">
        <v>1646</v>
      </c>
      <c r="D567" s="35" t="s">
        <v>2380</v>
      </c>
      <c r="E567" s="304" t="s">
        <v>9461</v>
      </c>
      <c r="F567" s="35" t="s">
        <v>9462</v>
      </c>
      <c r="G567" s="35" t="s">
        <v>63</v>
      </c>
      <c r="H567" s="35" t="s">
        <v>33</v>
      </c>
      <c r="I567" s="319" t="s">
        <v>9423</v>
      </c>
      <c r="J567" s="327"/>
      <c r="M567" s="327"/>
      <c r="O567" s="35" t="s">
        <v>26</v>
      </c>
    </row>
    <row r="568" spans="1:15" ht="13">
      <c r="A568" s="33">
        <v>43935.919441840277</v>
      </c>
      <c r="B568" s="35" t="s">
        <v>1272</v>
      </c>
      <c r="C568" s="35" t="s">
        <v>1274</v>
      </c>
      <c r="D568" s="35" t="s">
        <v>1275</v>
      </c>
      <c r="E568" s="328" t="s">
        <v>1276</v>
      </c>
      <c r="F568" s="328" t="s">
        <v>1277</v>
      </c>
      <c r="G568" s="35" t="s">
        <v>1278</v>
      </c>
      <c r="H568" s="35" t="s">
        <v>33</v>
      </c>
      <c r="I568" s="35" t="s">
        <v>1279</v>
      </c>
      <c r="J568" s="35" t="s">
        <v>48</v>
      </c>
      <c r="K568" s="327"/>
      <c r="L568" s="327"/>
      <c r="M568" s="35" t="s">
        <v>83</v>
      </c>
      <c r="N568" s="328" t="s">
        <v>1280</v>
      </c>
      <c r="O568" s="35" t="s">
        <v>26</v>
      </c>
    </row>
    <row r="569" spans="1:15" ht="13">
      <c r="A569" s="33">
        <v>43935.925275624999</v>
      </c>
      <c r="B569" s="35" t="s">
        <v>8404</v>
      </c>
      <c r="C569" s="35" t="s">
        <v>8405</v>
      </c>
      <c r="D569" s="35" t="s">
        <v>8406</v>
      </c>
      <c r="E569" s="38" t="s">
        <v>8407</v>
      </c>
      <c r="F569" s="327"/>
      <c r="G569" s="35" t="s">
        <v>322</v>
      </c>
      <c r="H569" s="35" t="s">
        <v>33</v>
      </c>
      <c r="I569" s="35" t="s">
        <v>8408</v>
      </c>
      <c r="J569" s="35" t="s">
        <v>35</v>
      </c>
      <c r="K569" s="328" t="s">
        <v>8409</v>
      </c>
      <c r="L569" s="327"/>
      <c r="M569" s="35" t="s">
        <v>83</v>
      </c>
      <c r="O569" s="35" t="s">
        <v>26</v>
      </c>
    </row>
    <row r="570" spans="1:15" ht="13" hidden="1">
      <c r="A570" s="33">
        <v>43935.928246076393</v>
      </c>
      <c r="B570" s="35" t="s">
        <v>5146</v>
      </c>
      <c r="C570" s="35" t="s">
        <v>5147</v>
      </c>
      <c r="D570" s="35" t="s">
        <v>4150</v>
      </c>
      <c r="E570" s="38" t="s">
        <v>5148</v>
      </c>
      <c r="F570" s="35" t="s">
        <v>5152</v>
      </c>
      <c r="G570" s="35" t="s">
        <v>228</v>
      </c>
      <c r="H570" s="35" t="s">
        <v>46</v>
      </c>
      <c r="I570" s="35" t="s">
        <v>5003</v>
      </c>
      <c r="J570" s="35" t="s">
        <v>104</v>
      </c>
      <c r="M570" s="35" t="s">
        <v>83</v>
      </c>
      <c r="N570" s="35" t="s">
        <v>532</v>
      </c>
      <c r="O570" s="35" t="s">
        <v>26</v>
      </c>
    </row>
    <row r="571" spans="1:15" ht="13">
      <c r="A571" s="33">
        <v>43935.931118877314</v>
      </c>
      <c r="B571" s="35" t="s">
        <v>6769</v>
      </c>
      <c r="C571" s="35" t="s">
        <v>6770</v>
      </c>
      <c r="D571" s="35" t="s">
        <v>6771</v>
      </c>
      <c r="E571" s="38" t="s">
        <v>6772</v>
      </c>
      <c r="F571" s="327"/>
      <c r="G571" s="35" t="s">
        <v>322</v>
      </c>
      <c r="H571" s="35" t="s">
        <v>33</v>
      </c>
      <c r="I571" s="35" t="s">
        <v>6773</v>
      </c>
      <c r="J571" s="35" t="s">
        <v>48</v>
      </c>
      <c r="K571" s="328" t="s">
        <v>6774</v>
      </c>
      <c r="L571" s="327"/>
      <c r="M571" s="35" t="s">
        <v>67</v>
      </c>
      <c r="N571" s="327"/>
      <c r="O571" s="35" t="s">
        <v>26</v>
      </c>
    </row>
    <row r="572" spans="1:15" ht="13">
      <c r="A572" s="33">
        <v>43935.941692881941</v>
      </c>
      <c r="B572" s="35" t="s">
        <v>8647</v>
      </c>
      <c r="C572" s="35" t="s">
        <v>8648</v>
      </c>
      <c r="D572" s="35" t="s">
        <v>8649</v>
      </c>
      <c r="E572" s="328" t="s">
        <v>8650</v>
      </c>
      <c r="F572" s="327"/>
      <c r="G572" s="35" t="s">
        <v>63</v>
      </c>
      <c r="H572" s="35" t="s">
        <v>33</v>
      </c>
      <c r="I572" s="35" t="s">
        <v>8651</v>
      </c>
      <c r="J572" s="35" t="s">
        <v>48</v>
      </c>
      <c r="K572" s="327"/>
      <c r="M572" s="35" t="s">
        <v>83</v>
      </c>
      <c r="N572" s="328" t="s">
        <v>2356</v>
      </c>
      <c r="O572" s="35" t="s">
        <v>26</v>
      </c>
    </row>
    <row r="573" spans="1:15" ht="13">
      <c r="A573" s="33">
        <v>43935.945263668982</v>
      </c>
      <c r="B573" s="35" t="s">
        <v>3792</v>
      </c>
      <c r="C573" s="35" t="s">
        <v>3793</v>
      </c>
      <c r="D573" s="38" t="s">
        <v>3794</v>
      </c>
      <c r="E573" s="38" t="s">
        <v>3795</v>
      </c>
      <c r="F573" s="35" t="s">
        <v>3796</v>
      </c>
      <c r="G573" s="35" t="s">
        <v>63</v>
      </c>
      <c r="H573" s="35" t="s">
        <v>33</v>
      </c>
      <c r="I573" s="35" t="s">
        <v>3797</v>
      </c>
      <c r="J573" s="35" t="s">
        <v>104</v>
      </c>
      <c r="M573" s="35" t="s">
        <v>83</v>
      </c>
      <c r="N573" s="328" t="s">
        <v>3798</v>
      </c>
      <c r="O573" s="35" t="s">
        <v>26</v>
      </c>
    </row>
    <row r="574" spans="1:15" ht="13" hidden="1">
      <c r="A574" s="33">
        <v>43935.955842870375</v>
      </c>
      <c r="B574" s="35" t="s">
        <v>5172</v>
      </c>
      <c r="C574" s="35" t="s">
        <v>5173</v>
      </c>
      <c r="D574" s="35" t="s">
        <v>87</v>
      </c>
      <c r="E574" s="38" t="s">
        <v>5174</v>
      </c>
      <c r="F574" s="35" t="s">
        <v>5177</v>
      </c>
      <c r="G574" s="35" t="s">
        <v>141</v>
      </c>
      <c r="H574" s="35" t="s">
        <v>46</v>
      </c>
      <c r="I574" s="35" t="s">
        <v>5180</v>
      </c>
      <c r="J574" s="35" t="s">
        <v>48</v>
      </c>
      <c r="M574" s="35" t="s">
        <v>67</v>
      </c>
      <c r="N574" s="35" t="s">
        <v>5181</v>
      </c>
      <c r="O574" s="35" t="s">
        <v>26</v>
      </c>
    </row>
    <row r="575" spans="1:15" ht="13" hidden="1">
      <c r="A575" s="33">
        <v>43935.96852923611</v>
      </c>
      <c r="B575" s="35" t="s">
        <v>5183</v>
      </c>
      <c r="C575" s="35" t="s">
        <v>5184</v>
      </c>
      <c r="D575" s="35" t="s">
        <v>5185</v>
      </c>
      <c r="E575" s="38" t="s">
        <v>5186</v>
      </c>
      <c r="F575" s="35" t="s">
        <v>5187</v>
      </c>
      <c r="G575" s="35" t="s">
        <v>336</v>
      </c>
      <c r="H575" s="35" t="s">
        <v>46</v>
      </c>
      <c r="I575" s="35" t="s">
        <v>5188</v>
      </c>
      <c r="J575" s="35" t="s">
        <v>35</v>
      </c>
      <c r="K575" s="35" t="s">
        <v>5189</v>
      </c>
      <c r="L575" s="35" t="s">
        <v>5190</v>
      </c>
      <c r="M575" s="35" t="s">
        <v>83</v>
      </c>
      <c r="N575" s="35" t="s">
        <v>581</v>
      </c>
      <c r="O575" s="35" t="s">
        <v>26</v>
      </c>
    </row>
    <row r="576" spans="1:15" ht="13" hidden="1">
      <c r="A576" s="33">
        <v>43935.971204756948</v>
      </c>
      <c r="B576" s="35" t="s">
        <v>5191</v>
      </c>
      <c r="C576" s="35" t="s">
        <v>875</v>
      </c>
      <c r="D576" s="35" t="s">
        <v>5192</v>
      </c>
      <c r="E576" s="38" t="s">
        <v>5193</v>
      </c>
      <c r="F576" s="35" t="s">
        <v>5195</v>
      </c>
      <c r="G576" s="35" t="s">
        <v>5196</v>
      </c>
      <c r="H576" s="35" t="s">
        <v>46</v>
      </c>
      <c r="I576" s="35" t="s">
        <v>5197</v>
      </c>
      <c r="J576" s="35" t="s">
        <v>81</v>
      </c>
      <c r="M576" s="35" t="s">
        <v>67</v>
      </c>
      <c r="O576" s="35" t="s">
        <v>26</v>
      </c>
    </row>
    <row r="577" spans="1:15" ht="13" hidden="1">
      <c r="A577" s="33">
        <v>43935.983217592591</v>
      </c>
      <c r="B577" s="35" t="s">
        <v>5198</v>
      </c>
      <c r="C577" s="35" t="s">
        <v>5199</v>
      </c>
      <c r="D577" s="35" t="s">
        <v>5192</v>
      </c>
      <c r="E577" s="38" t="s">
        <v>5200</v>
      </c>
      <c r="F577" s="35" t="s">
        <v>5203</v>
      </c>
      <c r="G577" s="35" t="s">
        <v>63</v>
      </c>
      <c r="H577" s="35" t="s">
        <v>46</v>
      </c>
      <c r="I577" s="35" t="s">
        <v>282</v>
      </c>
      <c r="J577" s="35" t="s">
        <v>104</v>
      </c>
      <c r="M577" s="35" t="s">
        <v>83</v>
      </c>
      <c r="N577" s="35" t="s">
        <v>826</v>
      </c>
      <c r="O577" s="35" t="s">
        <v>26</v>
      </c>
    </row>
    <row r="578" spans="1:15" ht="13">
      <c r="A578" s="33">
        <v>43935.984333599539</v>
      </c>
      <c r="B578" s="35" t="s">
        <v>1339</v>
      </c>
      <c r="C578" s="35" t="s">
        <v>1340</v>
      </c>
      <c r="D578" s="35" t="s">
        <v>1341</v>
      </c>
      <c r="E578" s="38" t="s">
        <v>1342</v>
      </c>
      <c r="F578" s="35" t="s">
        <v>1343</v>
      </c>
      <c r="G578" s="35" t="s">
        <v>1185</v>
      </c>
      <c r="H578" s="35" t="s">
        <v>33</v>
      </c>
      <c r="I578" s="35" t="s">
        <v>1344</v>
      </c>
      <c r="J578" s="35" t="s">
        <v>48</v>
      </c>
      <c r="K578" s="327"/>
      <c r="M578" s="35" t="s">
        <v>67</v>
      </c>
      <c r="O578" s="35" t="s">
        <v>26</v>
      </c>
    </row>
    <row r="579" spans="1:15" ht="13">
      <c r="A579" s="33">
        <v>43935.994083101847</v>
      </c>
      <c r="B579" s="35" t="s">
        <v>5887</v>
      </c>
      <c r="C579" s="35" t="s">
        <v>5888</v>
      </c>
      <c r="D579" s="35" t="s">
        <v>5889</v>
      </c>
      <c r="E579" s="38" t="s">
        <v>5890</v>
      </c>
      <c r="F579" s="35" t="s">
        <v>5892</v>
      </c>
      <c r="G579" s="35" t="s">
        <v>5893</v>
      </c>
      <c r="H579" s="35" t="s">
        <v>33</v>
      </c>
      <c r="I579" s="35" t="s">
        <v>5894</v>
      </c>
      <c r="J579" s="35" t="s">
        <v>48</v>
      </c>
      <c r="K579" s="327"/>
      <c r="L579" s="327"/>
      <c r="M579" s="35" t="s">
        <v>67</v>
      </c>
      <c r="N579" s="327"/>
      <c r="O579" s="35" t="s">
        <v>26</v>
      </c>
    </row>
    <row r="580" spans="1:15" ht="13">
      <c r="A580" s="33">
        <v>43936.017322013889</v>
      </c>
      <c r="B580" s="35" t="s">
        <v>3261</v>
      </c>
      <c r="C580" s="35" t="s">
        <v>3262</v>
      </c>
      <c r="D580" s="35" t="s">
        <v>3263</v>
      </c>
      <c r="E580" s="38" t="s">
        <v>3264</v>
      </c>
      <c r="F580" s="328" t="s">
        <v>3269</v>
      </c>
      <c r="G580" s="35" t="s">
        <v>1994</v>
      </c>
      <c r="H580" s="35" t="s">
        <v>33</v>
      </c>
      <c r="I580" s="35" t="s">
        <v>3270</v>
      </c>
      <c r="J580" s="35" t="s">
        <v>81</v>
      </c>
      <c r="K580" s="328" t="s">
        <v>3271</v>
      </c>
      <c r="L580" s="328" t="s">
        <v>3272</v>
      </c>
      <c r="M580" s="35" t="s">
        <v>83</v>
      </c>
      <c r="N580" s="328" t="s">
        <v>3273</v>
      </c>
      <c r="O580" s="35" t="s">
        <v>26</v>
      </c>
    </row>
    <row r="581" spans="1:15" ht="13">
      <c r="A581" s="33">
        <v>43936.033294837966</v>
      </c>
      <c r="B581" s="35" t="s">
        <v>3035</v>
      </c>
      <c r="C581" s="35" t="s">
        <v>63</v>
      </c>
      <c r="D581" s="35" t="s">
        <v>3037</v>
      </c>
      <c r="E581" s="38" t="s">
        <v>3038</v>
      </c>
      <c r="F581" s="328" t="s">
        <v>3040</v>
      </c>
      <c r="G581" s="35" t="s">
        <v>3041</v>
      </c>
      <c r="H581" s="35" t="s">
        <v>33</v>
      </c>
      <c r="I581" s="35" t="s">
        <v>3042</v>
      </c>
      <c r="J581" s="35" t="s">
        <v>48</v>
      </c>
      <c r="K581" s="327"/>
      <c r="L581" s="327"/>
      <c r="M581" s="35" t="s">
        <v>83</v>
      </c>
      <c r="O581" s="35" t="s">
        <v>26</v>
      </c>
    </row>
    <row r="582" spans="1:15" ht="13" hidden="1">
      <c r="A582" s="33">
        <v>43936.084305625001</v>
      </c>
      <c r="B582" s="35" t="s">
        <v>5236</v>
      </c>
      <c r="C582" s="35" t="s">
        <v>5237</v>
      </c>
      <c r="D582" s="35" t="s">
        <v>1647</v>
      </c>
      <c r="E582" s="35" t="s">
        <v>5236</v>
      </c>
      <c r="F582" s="35" t="s">
        <v>5238</v>
      </c>
      <c r="G582" s="35" t="s">
        <v>296</v>
      </c>
      <c r="H582" s="35" t="s">
        <v>46</v>
      </c>
      <c r="I582" s="35" t="s">
        <v>5239</v>
      </c>
      <c r="J582" s="35" t="s">
        <v>104</v>
      </c>
      <c r="K582" s="35" t="s">
        <v>5240</v>
      </c>
      <c r="M582" s="35" t="s">
        <v>67</v>
      </c>
      <c r="O582" s="35" t="s">
        <v>26</v>
      </c>
    </row>
    <row r="583" spans="1:15" ht="13" hidden="1">
      <c r="A583" s="33">
        <v>43936.09197282407</v>
      </c>
      <c r="B583" s="35" t="s">
        <v>5241</v>
      </c>
      <c r="C583" s="35" t="s">
        <v>798</v>
      </c>
      <c r="D583" s="35" t="s">
        <v>5242</v>
      </c>
      <c r="E583" s="38" t="s">
        <v>5243</v>
      </c>
      <c r="F583" s="35" t="s">
        <v>5244</v>
      </c>
      <c r="G583" s="35" t="s">
        <v>5245</v>
      </c>
      <c r="H583" s="35" t="s">
        <v>506</v>
      </c>
      <c r="I583" s="35" t="s">
        <v>5246</v>
      </c>
      <c r="J583" s="35" t="s">
        <v>81</v>
      </c>
      <c r="M583" s="35" t="s">
        <v>83</v>
      </c>
      <c r="N583" s="35" t="s">
        <v>5247</v>
      </c>
      <c r="O583" s="35" t="s">
        <v>26</v>
      </c>
    </row>
    <row r="584" spans="1:15" ht="13" hidden="1">
      <c r="A584" s="33">
        <v>43936.098162210648</v>
      </c>
      <c r="B584" s="35" t="s">
        <v>5248</v>
      </c>
      <c r="C584" s="35" t="s">
        <v>5249</v>
      </c>
      <c r="D584" s="35" t="s">
        <v>1647</v>
      </c>
      <c r="E584" s="38" t="s">
        <v>5250</v>
      </c>
      <c r="F584" s="35" t="s">
        <v>5253</v>
      </c>
      <c r="G584" s="35" t="s">
        <v>931</v>
      </c>
      <c r="H584" s="35" t="s">
        <v>46</v>
      </c>
      <c r="I584" s="35" t="s">
        <v>5254</v>
      </c>
      <c r="J584" s="35" t="s">
        <v>48</v>
      </c>
      <c r="M584" s="35" t="s">
        <v>67</v>
      </c>
      <c r="N584" s="35" t="s">
        <v>92</v>
      </c>
      <c r="O584" s="35" t="s">
        <v>26</v>
      </c>
    </row>
    <row r="585" spans="1:15" ht="13" hidden="1">
      <c r="A585" s="33">
        <v>43936.105607268517</v>
      </c>
      <c r="B585" s="35" t="s">
        <v>5255</v>
      </c>
      <c r="C585" s="35" t="s">
        <v>5256</v>
      </c>
      <c r="D585" s="35" t="s">
        <v>5257</v>
      </c>
      <c r="E585" s="38" t="s">
        <v>5258</v>
      </c>
      <c r="F585" s="35" t="s">
        <v>5260</v>
      </c>
      <c r="G585" s="35" t="s">
        <v>5261</v>
      </c>
      <c r="H585" s="35" t="s">
        <v>399</v>
      </c>
      <c r="I585" s="35" t="s">
        <v>662</v>
      </c>
      <c r="J585" s="35" t="s">
        <v>81</v>
      </c>
      <c r="M585" s="35" t="s">
        <v>83</v>
      </c>
      <c r="N585" s="35" t="s">
        <v>5263</v>
      </c>
      <c r="O585" s="35" t="s">
        <v>26</v>
      </c>
    </row>
    <row r="586" spans="1:15" ht="13">
      <c r="A586" s="33">
        <v>43936.117856527781</v>
      </c>
      <c r="B586" s="35" t="s">
        <v>9006</v>
      </c>
      <c r="C586" s="35" t="s">
        <v>9007</v>
      </c>
      <c r="D586" s="35" t="s">
        <v>9008</v>
      </c>
      <c r="E586" s="38" t="s">
        <v>9009</v>
      </c>
      <c r="F586" s="327"/>
      <c r="G586" s="35" t="s">
        <v>931</v>
      </c>
      <c r="H586" s="35" t="s">
        <v>33</v>
      </c>
      <c r="I586" s="35" t="s">
        <v>9010</v>
      </c>
      <c r="J586" s="35" t="s">
        <v>48</v>
      </c>
      <c r="K586" s="327"/>
      <c r="L586" s="327"/>
      <c r="M586" s="35" t="s">
        <v>83</v>
      </c>
      <c r="O586" s="35" t="s">
        <v>26</v>
      </c>
    </row>
    <row r="587" spans="1:15" ht="13">
      <c r="A587" s="33">
        <v>43936.119340555553</v>
      </c>
      <c r="B587" s="35" t="s">
        <v>5476</v>
      </c>
      <c r="C587" s="35" t="s">
        <v>5477</v>
      </c>
      <c r="D587" s="35" t="s">
        <v>4192</v>
      </c>
      <c r="E587" s="38" t="s">
        <v>5478</v>
      </c>
      <c r="F587" s="35" t="s">
        <v>5483</v>
      </c>
      <c r="G587" s="35" t="s">
        <v>134</v>
      </c>
      <c r="H587" s="35" t="s">
        <v>33</v>
      </c>
      <c r="I587" s="35" t="s">
        <v>425</v>
      </c>
      <c r="J587" s="35" t="s">
        <v>81</v>
      </c>
      <c r="K587" s="328" t="s">
        <v>5484</v>
      </c>
      <c r="L587" s="328" t="s">
        <v>5485</v>
      </c>
      <c r="M587" s="35" t="s">
        <v>83</v>
      </c>
      <c r="N587" s="328" t="s">
        <v>5486</v>
      </c>
      <c r="O587" s="35" t="s">
        <v>26</v>
      </c>
    </row>
    <row r="588" spans="1:15" ht="13">
      <c r="A588" s="33">
        <v>43936.130228668982</v>
      </c>
      <c r="B588" s="35" t="s">
        <v>513</v>
      </c>
      <c r="C588" s="35" t="s">
        <v>514</v>
      </c>
      <c r="D588" s="35" t="s">
        <v>515</v>
      </c>
      <c r="E588" s="38" t="s">
        <v>516</v>
      </c>
      <c r="F588" s="35" t="s">
        <v>518</v>
      </c>
      <c r="G588" s="35" t="s">
        <v>519</v>
      </c>
      <c r="H588" s="35" t="s">
        <v>33</v>
      </c>
      <c r="I588" s="35" t="s">
        <v>521</v>
      </c>
      <c r="J588" s="35" t="s">
        <v>48</v>
      </c>
      <c r="K588" s="327"/>
      <c r="L588" s="327"/>
      <c r="M588" s="35" t="s">
        <v>67</v>
      </c>
      <c r="O588" s="35" t="s">
        <v>26</v>
      </c>
    </row>
    <row r="589" spans="1:15" ht="13" hidden="1">
      <c r="A589" s="33">
        <v>43936.142000335647</v>
      </c>
      <c r="B589" s="35" t="s">
        <v>5285</v>
      </c>
      <c r="C589" s="35" t="s">
        <v>5286</v>
      </c>
      <c r="D589" s="35" t="s">
        <v>5287</v>
      </c>
      <c r="E589" s="38" t="s">
        <v>5288</v>
      </c>
      <c r="F589" s="35" t="s">
        <v>5289</v>
      </c>
      <c r="G589" s="35" t="s">
        <v>5290</v>
      </c>
      <c r="H589" s="35" t="s">
        <v>126</v>
      </c>
      <c r="I589" s="35" t="s">
        <v>425</v>
      </c>
      <c r="J589" s="35" t="s">
        <v>746</v>
      </c>
      <c r="M589" s="35" t="s">
        <v>83</v>
      </c>
      <c r="O589" s="35" t="s">
        <v>26</v>
      </c>
    </row>
    <row r="590" spans="1:15" ht="13" hidden="1">
      <c r="A590" s="33">
        <v>43936.153293275464</v>
      </c>
      <c r="B590" s="35" t="s">
        <v>5291</v>
      </c>
      <c r="C590" s="35" t="s">
        <v>416</v>
      </c>
      <c r="D590" s="35" t="s">
        <v>5292</v>
      </c>
      <c r="E590" s="38" t="s">
        <v>5293</v>
      </c>
      <c r="F590" s="35" t="s">
        <v>5298</v>
      </c>
      <c r="G590" s="35" t="s">
        <v>5299</v>
      </c>
      <c r="H590" s="35" t="s">
        <v>506</v>
      </c>
      <c r="I590" s="35" t="s">
        <v>5300</v>
      </c>
      <c r="J590" s="35" t="s">
        <v>104</v>
      </c>
      <c r="M590" s="35" t="s">
        <v>83</v>
      </c>
      <c r="O590" s="35" t="s">
        <v>26</v>
      </c>
    </row>
    <row r="591" spans="1:15" ht="13" hidden="1">
      <c r="A591" s="33">
        <v>43936.156467673616</v>
      </c>
      <c r="B591" s="35" t="s">
        <v>5301</v>
      </c>
      <c r="C591" s="35" t="s">
        <v>5302</v>
      </c>
      <c r="D591" s="35" t="s">
        <v>5303</v>
      </c>
      <c r="E591" s="38" t="s">
        <v>5304</v>
      </c>
      <c r="F591" s="35" t="s">
        <v>5305</v>
      </c>
      <c r="G591" s="35" t="s">
        <v>5306</v>
      </c>
      <c r="H591" s="35" t="s">
        <v>46</v>
      </c>
      <c r="I591" s="35" t="s">
        <v>5307</v>
      </c>
      <c r="J591" s="35" t="s">
        <v>35</v>
      </c>
      <c r="K591" s="35" t="s">
        <v>5308</v>
      </c>
      <c r="L591" s="35" t="s">
        <v>5309</v>
      </c>
      <c r="M591" s="35" t="s">
        <v>83</v>
      </c>
      <c r="N591" s="35" t="s">
        <v>92</v>
      </c>
      <c r="O591" s="35" t="s">
        <v>26</v>
      </c>
    </row>
    <row r="592" spans="1:15" ht="13">
      <c r="A592" s="33">
        <v>43936.171233449073</v>
      </c>
      <c r="B592" s="35" t="s">
        <v>3302</v>
      </c>
      <c r="C592" s="35" t="s">
        <v>3303</v>
      </c>
      <c r="D592" s="328" t="s">
        <v>3304</v>
      </c>
      <c r="E592" s="38" t="s">
        <v>3305</v>
      </c>
      <c r="F592" s="328" t="s">
        <v>3306</v>
      </c>
      <c r="G592" s="35" t="s">
        <v>363</v>
      </c>
      <c r="H592" s="35" t="s">
        <v>33</v>
      </c>
      <c r="I592" s="35" t="s">
        <v>3307</v>
      </c>
      <c r="J592" s="35" t="s">
        <v>48</v>
      </c>
      <c r="K592" s="327"/>
      <c r="L592" s="327"/>
      <c r="M592" s="35" t="s">
        <v>83</v>
      </c>
      <c r="O592" s="35" t="s">
        <v>26</v>
      </c>
    </row>
    <row r="593" spans="1:15" ht="13">
      <c r="A593" s="33">
        <v>43936.248365821761</v>
      </c>
      <c r="B593" s="35" t="s">
        <v>4467</v>
      </c>
      <c r="C593" s="35" t="s">
        <v>4468</v>
      </c>
      <c r="D593" s="35" t="s">
        <v>4469</v>
      </c>
      <c r="E593" s="328" t="s">
        <v>4470</v>
      </c>
      <c r="F593" s="35" t="s">
        <v>4471</v>
      </c>
      <c r="G593" s="35" t="s">
        <v>4472</v>
      </c>
      <c r="H593" s="35" t="s">
        <v>33</v>
      </c>
      <c r="I593" s="35" t="s">
        <v>4474</v>
      </c>
      <c r="J593" s="35" t="s">
        <v>48</v>
      </c>
      <c r="K593" s="35" t="s">
        <v>4477</v>
      </c>
      <c r="L593" s="327"/>
      <c r="M593" s="35" t="s">
        <v>67</v>
      </c>
      <c r="O593" s="35" t="s">
        <v>26</v>
      </c>
    </row>
    <row r="594" spans="1:15" ht="13">
      <c r="A594" s="33">
        <v>43936.256461805555</v>
      </c>
      <c r="B594" s="35" t="s">
        <v>4260</v>
      </c>
      <c r="C594" s="35" t="s">
        <v>4261</v>
      </c>
      <c r="D594" s="35" t="s">
        <v>4262</v>
      </c>
      <c r="E594" s="328" t="s">
        <v>4263</v>
      </c>
      <c r="F594" s="35" t="s">
        <v>4264</v>
      </c>
      <c r="G594" s="35" t="s">
        <v>214</v>
      </c>
      <c r="H594" s="35" t="s">
        <v>33</v>
      </c>
      <c r="I594" s="35" t="s">
        <v>4265</v>
      </c>
      <c r="J594" s="35" t="s">
        <v>104</v>
      </c>
      <c r="K594" s="327"/>
      <c r="L594" s="327"/>
      <c r="M594" s="35" t="s">
        <v>83</v>
      </c>
      <c r="O594" s="35" t="s">
        <v>26</v>
      </c>
    </row>
    <row r="595" spans="1:15" ht="13">
      <c r="A595" s="33">
        <v>43936.288024039357</v>
      </c>
      <c r="B595" s="35" t="s">
        <v>3080</v>
      </c>
      <c r="C595" s="35" t="s">
        <v>3081</v>
      </c>
      <c r="D595" s="35" t="s">
        <v>3082</v>
      </c>
      <c r="E595" s="38" t="s">
        <v>3083</v>
      </c>
      <c r="F595" s="35" t="s">
        <v>3084</v>
      </c>
      <c r="G595" s="35" t="s">
        <v>278</v>
      </c>
      <c r="H595" s="35" t="s">
        <v>33</v>
      </c>
      <c r="I595" s="35" t="s">
        <v>3085</v>
      </c>
      <c r="J595" s="35" t="s">
        <v>48</v>
      </c>
      <c r="K595" s="328" t="s">
        <v>3086</v>
      </c>
      <c r="L595" s="328" t="s">
        <v>3087</v>
      </c>
      <c r="M595" s="35" t="s">
        <v>67</v>
      </c>
      <c r="N595" s="327"/>
      <c r="O595" s="35" t="s">
        <v>26</v>
      </c>
    </row>
    <row r="596" spans="1:15" ht="13">
      <c r="A596" s="33">
        <v>43936.32025488426</v>
      </c>
      <c r="B596" s="35" t="s">
        <v>6922</v>
      </c>
      <c r="C596" s="35" t="s">
        <v>6923</v>
      </c>
      <c r="D596" s="35" t="s">
        <v>2141</v>
      </c>
      <c r="E596" s="38" t="s">
        <v>6924</v>
      </c>
      <c r="F596" s="327"/>
      <c r="G596" s="35" t="s">
        <v>3259</v>
      </c>
      <c r="H596" s="35" t="s">
        <v>33</v>
      </c>
      <c r="I596" s="35" t="s">
        <v>6927</v>
      </c>
      <c r="J596" s="35" t="s">
        <v>48</v>
      </c>
      <c r="K596" s="328" t="s">
        <v>6928</v>
      </c>
      <c r="L596" s="327"/>
      <c r="M596" s="35" t="s">
        <v>83</v>
      </c>
      <c r="O596" s="35" t="s">
        <v>26</v>
      </c>
    </row>
    <row r="597" spans="1:15" ht="13">
      <c r="A597" s="33">
        <v>43936.390975069444</v>
      </c>
      <c r="B597" s="328" t="s">
        <v>3190</v>
      </c>
      <c r="C597" s="328" t="s">
        <v>3191</v>
      </c>
      <c r="D597" s="328" t="s">
        <v>3166</v>
      </c>
      <c r="E597" s="38" t="s">
        <v>3192</v>
      </c>
      <c r="F597" s="328" t="s">
        <v>3194</v>
      </c>
      <c r="G597" s="328" t="s">
        <v>1278</v>
      </c>
      <c r="H597" s="328" t="s">
        <v>33</v>
      </c>
      <c r="I597" s="328" t="s">
        <v>3196</v>
      </c>
      <c r="J597" s="328" t="s">
        <v>35</v>
      </c>
      <c r="K597" s="328" t="s">
        <v>3198</v>
      </c>
      <c r="L597" s="327"/>
      <c r="M597" s="328" t="s">
        <v>83</v>
      </c>
      <c r="N597" s="327"/>
      <c r="O597" s="35" t="s">
        <v>26</v>
      </c>
    </row>
    <row r="598" spans="1:15" ht="13" hidden="1">
      <c r="A598" s="33">
        <v>43936.403047465283</v>
      </c>
      <c r="B598" s="35" t="s">
        <v>5359</v>
      </c>
      <c r="C598" s="35" t="s">
        <v>5360</v>
      </c>
      <c r="D598" s="35" t="s">
        <v>5005</v>
      </c>
      <c r="E598" s="38" t="s">
        <v>5361</v>
      </c>
      <c r="F598" s="35" t="s">
        <v>5365</v>
      </c>
      <c r="G598" s="35" t="s">
        <v>519</v>
      </c>
      <c r="H598" s="35" t="s">
        <v>46</v>
      </c>
      <c r="I598" s="35" t="s">
        <v>5366</v>
      </c>
      <c r="J598" s="35" t="s">
        <v>746</v>
      </c>
      <c r="K598" s="35" t="s">
        <v>5003</v>
      </c>
      <c r="L598" s="35" t="s">
        <v>5367</v>
      </c>
      <c r="M598" s="35" t="s">
        <v>83</v>
      </c>
      <c r="N598" s="35" t="s">
        <v>989</v>
      </c>
      <c r="O598" s="35" t="s">
        <v>26</v>
      </c>
    </row>
    <row r="599" spans="1:15" ht="13" hidden="1">
      <c r="A599" s="33">
        <v>43936.404415046301</v>
      </c>
      <c r="B599" s="35" t="s">
        <v>5368</v>
      </c>
      <c r="C599" s="35" t="s">
        <v>5369</v>
      </c>
      <c r="D599" s="35" t="s">
        <v>5370</v>
      </c>
      <c r="E599" s="38" t="s">
        <v>5371</v>
      </c>
      <c r="F599" s="35" t="s">
        <v>5374</v>
      </c>
      <c r="G599" s="35" t="s">
        <v>2682</v>
      </c>
      <c r="H599" s="35" t="s">
        <v>5377</v>
      </c>
      <c r="I599" s="35" t="s">
        <v>5378</v>
      </c>
      <c r="J599" s="35" t="s">
        <v>104</v>
      </c>
      <c r="K599" s="35" t="s">
        <v>5380</v>
      </c>
      <c r="L599" s="35" t="s">
        <v>5382</v>
      </c>
      <c r="M599" s="35" t="s">
        <v>83</v>
      </c>
      <c r="O599" s="35" t="s">
        <v>26</v>
      </c>
    </row>
    <row r="600" spans="1:15" ht="13">
      <c r="A600" s="33">
        <v>43936.486701493057</v>
      </c>
      <c r="B600" s="35" t="s">
        <v>3779</v>
      </c>
      <c r="C600" s="35" t="s">
        <v>3781</v>
      </c>
      <c r="D600" s="35" t="s">
        <v>3782</v>
      </c>
      <c r="E600" s="38" t="s">
        <v>3784</v>
      </c>
      <c r="F600" s="35" t="s">
        <v>3787</v>
      </c>
      <c r="G600" s="35" t="s">
        <v>564</v>
      </c>
      <c r="H600" s="35" t="s">
        <v>33</v>
      </c>
      <c r="I600" s="35" t="s">
        <v>3788</v>
      </c>
      <c r="J600" s="35" t="s">
        <v>35</v>
      </c>
      <c r="K600" s="35" t="s">
        <v>3789</v>
      </c>
      <c r="L600" s="35" t="s">
        <v>3790</v>
      </c>
      <c r="M600" s="35" t="s">
        <v>83</v>
      </c>
      <c r="N600" s="328" t="s">
        <v>3791</v>
      </c>
      <c r="O600" s="35" t="s">
        <v>26</v>
      </c>
    </row>
    <row r="601" spans="1:15" ht="13">
      <c r="A601" s="33">
        <v>43936.796823275465</v>
      </c>
      <c r="B601" s="35" t="s">
        <v>346</v>
      </c>
      <c r="C601" s="35" t="s">
        <v>347</v>
      </c>
      <c r="D601" s="35" t="s">
        <v>348</v>
      </c>
      <c r="E601" s="38" t="s">
        <v>349</v>
      </c>
      <c r="F601" s="35" t="s">
        <v>350</v>
      </c>
      <c r="G601" s="35" t="s">
        <v>32</v>
      </c>
      <c r="H601" s="35" t="s">
        <v>33</v>
      </c>
      <c r="I601" s="35" t="s">
        <v>351</v>
      </c>
      <c r="J601" s="35" t="s">
        <v>35</v>
      </c>
      <c r="K601" s="35" t="s">
        <v>352</v>
      </c>
      <c r="L601" s="327"/>
      <c r="M601" s="35" t="s">
        <v>83</v>
      </c>
      <c r="N601" s="327"/>
      <c r="O601" s="35" t="s">
        <v>26</v>
      </c>
    </row>
    <row r="602" spans="1:15" ht="13">
      <c r="A602" s="33">
        <v>43936.815641967594</v>
      </c>
      <c r="B602" s="35" t="s">
        <v>6811</v>
      </c>
      <c r="C602" s="35" t="s">
        <v>6812</v>
      </c>
      <c r="D602" s="35" t="s">
        <v>6813</v>
      </c>
      <c r="E602" s="328" t="s">
        <v>6811</v>
      </c>
      <c r="F602" s="327"/>
      <c r="G602" s="35" t="s">
        <v>519</v>
      </c>
      <c r="H602" s="35" t="s">
        <v>33</v>
      </c>
      <c r="I602" s="35" t="s">
        <v>6814</v>
      </c>
      <c r="J602" s="35" t="s">
        <v>104</v>
      </c>
      <c r="K602" s="327"/>
      <c r="L602" s="327"/>
      <c r="M602" s="35" t="s">
        <v>83</v>
      </c>
      <c r="N602" s="328" t="s">
        <v>2789</v>
      </c>
      <c r="O602" s="35" t="s">
        <v>26</v>
      </c>
    </row>
    <row r="603" spans="1:15" ht="13">
      <c r="A603" s="33">
        <v>43936.845591342593</v>
      </c>
      <c r="B603" s="35" t="s">
        <v>735</v>
      </c>
      <c r="C603" s="35" t="s">
        <v>736</v>
      </c>
      <c r="D603" s="35" t="s">
        <v>348</v>
      </c>
      <c r="E603" s="38" t="s">
        <v>737</v>
      </c>
      <c r="F603" s="328" t="s">
        <v>738</v>
      </c>
      <c r="G603" s="35" t="s">
        <v>739</v>
      </c>
      <c r="H603" s="35" t="s">
        <v>33</v>
      </c>
      <c r="I603" s="35" t="s">
        <v>740</v>
      </c>
      <c r="J603" s="35" t="s">
        <v>48</v>
      </c>
      <c r="K603" s="327"/>
      <c r="M603" s="35" t="s">
        <v>67</v>
      </c>
      <c r="N603" s="327"/>
      <c r="O603" s="35" t="s">
        <v>26</v>
      </c>
    </row>
    <row r="604" spans="1:15" ht="13" hidden="1">
      <c r="A604" s="33">
        <v>43936.920778946762</v>
      </c>
      <c r="B604" s="35" t="s">
        <v>5418</v>
      </c>
      <c r="C604" s="35" t="s">
        <v>5420</v>
      </c>
      <c r="D604" s="35" t="s">
        <v>5421</v>
      </c>
      <c r="E604" s="38" t="s">
        <v>5423</v>
      </c>
      <c r="F604" s="35" t="s">
        <v>5425</v>
      </c>
      <c r="G604" s="35" t="s">
        <v>5426</v>
      </c>
      <c r="H604" s="35" t="s">
        <v>46</v>
      </c>
      <c r="I604" s="35" t="s">
        <v>5427</v>
      </c>
      <c r="J604" s="35" t="s">
        <v>35</v>
      </c>
      <c r="M604" s="35" t="s">
        <v>67</v>
      </c>
      <c r="N604" s="35" t="s">
        <v>834</v>
      </c>
      <c r="O604" s="35" t="s">
        <v>26</v>
      </c>
    </row>
    <row r="605" spans="1:15" ht="13" hidden="1">
      <c r="A605" s="33">
        <v>43936.928856527782</v>
      </c>
      <c r="B605" s="35" t="s">
        <v>5428</v>
      </c>
      <c r="C605" s="35" t="s">
        <v>5429</v>
      </c>
      <c r="D605" s="35" t="s">
        <v>5430</v>
      </c>
      <c r="E605" s="35" t="s">
        <v>1112</v>
      </c>
      <c r="F605" s="35" t="s">
        <v>5431</v>
      </c>
      <c r="G605" s="35" t="s">
        <v>996</v>
      </c>
      <c r="H605" s="35" t="s">
        <v>46</v>
      </c>
      <c r="I605" s="35" t="s">
        <v>3324</v>
      </c>
      <c r="J605" s="35" t="s">
        <v>48</v>
      </c>
      <c r="K605" s="35" t="s">
        <v>5432</v>
      </c>
      <c r="M605" s="35" t="s">
        <v>67</v>
      </c>
      <c r="N605" s="35" t="s">
        <v>5433</v>
      </c>
      <c r="O605" s="35" t="s">
        <v>26</v>
      </c>
    </row>
    <row r="606" spans="1:15" ht="13" hidden="1">
      <c r="A606" s="33">
        <v>43936.934775752314</v>
      </c>
      <c r="B606" s="35" t="s">
        <v>5434</v>
      </c>
      <c r="C606" s="35" t="s">
        <v>1267</v>
      </c>
      <c r="D606" s="38" t="s">
        <v>5435</v>
      </c>
      <c r="E606" s="38" t="s">
        <v>5436</v>
      </c>
      <c r="F606" s="35" t="s">
        <v>5441</v>
      </c>
      <c r="G606" s="35" t="s">
        <v>5290</v>
      </c>
      <c r="H606" s="35" t="s">
        <v>5442</v>
      </c>
      <c r="I606" s="35" t="s">
        <v>5443</v>
      </c>
      <c r="J606" s="35" t="s">
        <v>104</v>
      </c>
      <c r="M606" s="35" t="s">
        <v>83</v>
      </c>
      <c r="O606" s="35" t="s">
        <v>26</v>
      </c>
    </row>
    <row r="607" spans="1:15" ht="13" hidden="1">
      <c r="A607" s="33">
        <v>43936.951185381942</v>
      </c>
      <c r="B607" s="35" t="s">
        <v>5444</v>
      </c>
      <c r="C607" s="35" t="s">
        <v>5445</v>
      </c>
      <c r="D607" s="35" t="s">
        <v>3929</v>
      </c>
      <c r="E607" s="38" t="s">
        <v>5446</v>
      </c>
      <c r="F607" s="35" t="s">
        <v>5447</v>
      </c>
      <c r="G607" s="35" t="s">
        <v>931</v>
      </c>
      <c r="H607" s="35" t="s">
        <v>506</v>
      </c>
      <c r="I607" s="35" t="s">
        <v>5448</v>
      </c>
      <c r="J607" s="35" t="s">
        <v>48</v>
      </c>
      <c r="M607" s="35" t="s">
        <v>83</v>
      </c>
      <c r="O607" s="35" t="s">
        <v>26</v>
      </c>
    </row>
    <row r="608" spans="1:15" ht="13" hidden="1">
      <c r="A608" s="33">
        <v>43936.976203645834</v>
      </c>
      <c r="B608" s="35" t="s">
        <v>5449</v>
      </c>
      <c r="C608" s="35" t="s">
        <v>5450</v>
      </c>
      <c r="D608" s="35" t="s">
        <v>5451</v>
      </c>
      <c r="E608" s="38" t="s">
        <v>5452</v>
      </c>
      <c r="F608" s="35" t="s">
        <v>5456</v>
      </c>
      <c r="G608" s="35" t="s">
        <v>5458</v>
      </c>
      <c r="H608" s="35" t="s">
        <v>46</v>
      </c>
      <c r="I608" s="35" t="s">
        <v>5459</v>
      </c>
      <c r="J608" s="35" t="s">
        <v>305</v>
      </c>
      <c r="M608" s="35" t="s">
        <v>67</v>
      </c>
      <c r="N608" s="35" t="s">
        <v>5460</v>
      </c>
      <c r="O608" s="35" t="s">
        <v>26</v>
      </c>
    </row>
    <row r="609" spans="1:15" ht="13">
      <c r="A609" s="33">
        <v>43937.003172013894</v>
      </c>
      <c r="B609" s="35" t="s">
        <v>9017</v>
      </c>
      <c r="C609" s="35" t="s">
        <v>9018</v>
      </c>
      <c r="D609" s="328" t="s">
        <v>9019</v>
      </c>
      <c r="E609" s="38" t="s">
        <v>9020</v>
      </c>
      <c r="F609" s="327"/>
      <c r="G609" s="35" t="s">
        <v>739</v>
      </c>
      <c r="H609" s="35" t="s">
        <v>33</v>
      </c>
      <c r="I609" s="35" t="s">
        <v>9021</v>
      </c>
      <c r="J609" s="35" t="s">
        <v>104</v>
      </c>
      <c r="K609" s="35" t="s">
        <v>9022</v>
      </c>
      <c r="L609" s="327"/>
      <c r="M609" s="35" t="s">
        <v>83</v>
      </c>
      <c r="O609" s="35" t="s">
        <v>26</v>
      </c>
    </row>
    <row r="610" spans="1:15" ht="13">
      <c r="A610" s="33">
        <v>43937.009711643521</v>
      </c>
      <c r="B610" s="35" t="s">
        <v>9463</v>
      </c>
      <c r="C610" s="35" t="s">
        <v>9464</v>
      </c>
      <c r="D610" s="35" t="s">
        <v>2380</v>
      </c>
      <c r="E610" s="304" t="s">
        <v>9465</v>
      </c>
      <c r="F610" s="328" t="s">
        <v>9466</v>
      </c>
      <c r="G610" s="35" t="s">
        <v>63</v>
      </c>
      <c r="H610" s="35" t="s">
        <v>33</v>
      </c>
      <c r="I610" s="319" t="s">
        <v>9423</v>
      </c>
      <c r="J610" s="327"/>
      <c r="K610" s="327"/>
      <c r="L610" s="327"/>
      <c r="M610" s="327"/>
      <c r="N610" s="327"/>
      <c r="O610" s="35" t="s">
        <v>26</v>
      </c>
    </row>
    <row r="611" spans="1:15" ht="13">
      <c r="A611" s="33">
        <v>43937.031232916663</v>
      </c>
      <c r="B611" s="35" t="s">
        <v>5669</v>
      </c>
      <c r="C611" s="35" t="s">
        <v>5670</v>
      </c>
      <c r="D611" s="35" t="s">
        <v>1499</v>
      </c>
      <c r="E611" s="38" t="s">
        <v>5671</v>
      </c>
      <c r="F611" s="35" t="s">
        <v>5672</v>
      </c>
      <c r="G611" s="35" t="s">
        <v>63</v>
      </c>
      <c r="H611" s="35" t="s">
        <v>33</v>
      </c>
      <c r="I611" s="35" t="s">
        <v>5673</v>
      </c>
      <c r="J611" s="35" t="s">
        <v>48</v>
      </c>
      <c r="K611" s="35" t="s">
        <v>5674</v>
      </c>
      <c r="L611" s="327"/>
      <c r="M611" s="35" t="s">
        <v>83</v>
      </c>
      <c r="N611" s="327"/>
      <c r="O611" s="35" t="s">
        <v>26</v>
      </c>
    </row>
    <row r="612" spans="1:15" ht="13">
      <c r="A612" s="33">
        <v>43937.03476174768</v>
      </c>
      <c r="B612" s="35" t="s">
        <v>5274</v>
      </c>
      <c r="C612" s="35" t="s">
        <v>5275</v>
      </c>
      <c r="D612" s="35" t="s">
        <v>5276</v>
      </c>
      <c r="E612" s="38" t="s">
        <v>5277</v>
      </c>
      <c r="F612" s="35" t="s">
        <v>5282</v>
      </c>
      <c r="G612" s="35" t="s">
        <v>5283</v>
      </c>
      <c r="H612" s="35" t="s">
        <v>33</v>
      </c>
      <c r="I612" s="35" t="s">
        <v>5284</v>
      </c>
      <c r="J612" s="35" t="s">
        <v>35</v>
      </c>
      <c r="K612" s="327"/>
      <c r="L612" s="327"/>
      <c r="M612" s="35" t="s">
        <v>83</v>
      </c>
      <c r="N612" s="327"/>
      <c r="O612" s="35" t="s">
        <v>26</v>
      </c>
    </row>
    <row r="613" spans="1:15" ht="13">
      <c r="A613" s="33">
        <v>43937.062936944443</v>
      </c>
      <c r="B613" s="35" t="s">
        <v>4671</v>
      </c>
      <c r="C613" s="35" t="s">
        <v>4672</v>
      </c>
      <c r="D613" s="35" t="s">
        <v>4673</v>
      </c>
      <c r="E613" s="38" t="s">
        <v>4674</v>
      </c>
      <c r="F613" s="328" t="s">
        <v>4679</v>
      </c>
      <c r="G613" s="35" t="s">
        <v>296</v>
      </c>
      <c r="H613" s="35" t="s">
        <v>33</v>
      </c>
      <c r="I613" s="35" t="s">
        <v>3324</v>
      </c>
      <c r="J613" s="35" t="s">
        <v>48</v>
      </c>
      <c r="K613" s="327"/>
      <c r="L613" s="327"/>
      <c r="M613" s="35" t="s">
        <v>83</v>
      </c>
      <c r="N613" s="327"/>
      <c r="O613" s="35" t="s">
        <v>26</v>
      </c>
    </row>
    <row r="614" spans="1:15" ht="13">
      <c r="A614" s="33">
        <v>43937.078859097222</v>
      </c>
      <c r="B614" s="35" t="s">
        <v>7392</v>
      </c>
      <c r="C614" s="35" t="s">
        <v>7393</v>
      </c>
      <c r="D614" s="35" t="s">
        <v>7101</v>
      </c>
      <c r="E614" s="38" t="s">
        <v>7394</v>
      </c>
      <c r="F614" s="327"/>
      <c r="G614" s="35" t="s">
        <v>32</v>
      </c>
      <c r="H614" s="35" t="s">
        <v>33</v>
      </c>
      <c r="I614" s="35" t="s">
        <v>7398</v>
      </c>
      <c r="J614" s="35" t="s">
        <v>104</v>
      </c>
      <c r="K614" s="327"/>
      <c r="L614" s="327"/>
      <c r="M614" s="35" t="s">
        <v>83</v>
      </c>
      <c r="O614" s="35" t="s">
        <v>26</v>
      </c>
    </row>
    <row r="615" spans="1:15" ht="13">
      <c r="A615" s="33">
        <v>43937.151984641205</v>
      </c>
      <c r="B615" s="35" t="s">
        <v>2363</v>
      </c>
      <c r="C615" s="35" t="s">
        <v>2364</v>
      </c>
      <c r="D615" s="35" t="s">
        <v>2365</v>
      </c>
      <c r="E615" s="38" t="s">
        <v>2366</v>
      </c>
      <c r="F615" s="35" t="s">
        <v>2367</v>
      </c>
      <c r="G615" s="35" t="s">
        <v>32</v>
      </c>
      <c r="H615" s="35" t="s">
        <v>33</v>
      </c>
      <c r="I615" s="35" t="s">
        <v>2368</v>
      </c>
      <c r="J615" s="35" t="s">
        <v>48</v>
      </c>
      <c r="K615" s="327"/>
      <c r="L615" s="327"/>
      <c r="M615" s="35" t="s">
        <v>67</v>
      </c>
      <c r="N615" s="327"/>
      <c r="O615" s="35" t="s">
        <v>26</v>
      </c>
    </row>
    <row r="616" spans="1:15" ht="13">
      <c r="A616" s="33">
        <v>43937.160225532411</v>
      </c>
      <c r="B616" s="35" t="s">
        <v>9610</v>
      </c>
      <c r="C616" s="324" t="s">
        <v>9611</v>
      </c>
      <c r="D616" s="324" t="s">
        <v>6286</v>
      </c>
      <c r="E616" s="323" t="s">
        <v>6920</v>
      </c>
      <c r="F616" s="327"/>
      <c r="G616" s="324" t="s">
        <v>32</v>
      </c>
      <c r="H616" s="324" t="s">
        <v>33</v>
      </c>
      <c r="I616" s="324" t="s">
        <v>9546</v>
      </c>
      <c r="J616" s="324" t="s">
        <v>48</v>
      </c>
      <c r="M616" s="324" t="s">
        <v>83</v>
      </c>
      <c r="N616" s="324" t="s">
        <v>9551</v>
      </c>
      <c r="O616" s="35" t="s">
        <v>26</v>
      </c>
    </row>
    <row r="617" spans="1:15" ht="13">
      <c r="A617" s="33">
        <v>43937.206756828702</v>
      </c>
      <c r="B617" s="35" t="s">
        <v>6918</v>
      </c>
      <c r="C617" s="35" t="s">
        <v>6919</v>
      </c>
      <c r="D617" s="35" t="s">
        <v>6286</v>
      </c>
      <c r="E617" s="38" t="s">
        <v>6920</v>
      </c>
      <c r="F617" s="327"/>
      <c r="G617" s="35" t="s">
        <v>32</v>
      </c>
      <c r="H617" s="35" t="s">
        <v>33</v>
      </c>
      <c r="I617" s="35" t="s">
        <v>6921</v>
      </c>
      <c r="J617" s="35" t="s">
        <v>48</v>
      </c>
      <c r="K617" s="327"/>
      <c r="L617" s="327"/>
      <c r="M617" s="35" t="s">
        <v>83</v>
      </c>
      <c r="N617" s="327"/>
      <c r="O617" s="35" t="s">
        <v>26</v>
      </c>
    </row>
    <row r="618" spans="1:15" ht="13">
      <c r="A618" s="33">
        <v>43937.217303437501</v>
      </c>
      <c r="B618" s="35" t="s">
        <v>3016</v>
      </c>
      <c r="C618" s="35" t="s">
        <v>3017</v>
      </c>
      <c r="D618" s="35" t="s">
        <v>3018</v>
      </c>
      <c r="E618" s="38" t="s">
        <v>3019</v>
      </c>
      <c r="F618" s="328" t="s">
        <v>3021</v>
      </c>
      <c r="G618" s="35" t="s">
        <v>473</v>
      </c>
      <c r="H618" s="35" t="s">
        <v>33</v>
      </c>
      <c r="I618" s="35" t="s">
        <v>3022</v>
      </c>
      <c r="J618" s="35" t="s">
        <v>81</v>
      </c>
      <c r="K618" s="327"/>
      <c r="L618" s="327"/>
      <c r="M618" s="35" t="s">
        <v>83</v>
      </c>
      <c r="N618" s="327"/>
      <c r="O618" s="35" t="s">
        <v>26</v>
      </c>
    </row>
    <row r="619" spans="1:15" ht="14">
      <c r="A619" s="33">
        <v>43937.218835046297</v>
      </c>
      <c r="B619" s="313" t="s">
        <v>9252</v>
      </c>
      <c r="C619" s="308" t="s">
        <v>1630</v>
      </c>
      <c r="D619" s="313" t="s">
        <v>87</v>
      </c>
      <c r="E619" s="312" t="s">
        <v>9253</v>
      </c>
      <c r="F619" s="313"/>
      <c r="G619" s="313" t="s">
        <v>32</v>
      </c>
      <c r="H619" s="313" t="s">
        <v>33</v>
      </c>
      <c r="I619" s="313" t="s">
        <v>2959</v>
      </c>
      <c r="J619" s="313"/>
      <c r="K619" s="313"/>
      <c r="L619" s="313"/>
      <c r="M619" s="313"/>
      <c r="N619" s="313"/>
      <c r="O619" s="35" t="s">
        <v>26</v>
      </c>
    </row>
    <row r="620" spans="1:15" ht="13">
      <c r="A620" s="33">
        <v>43937.256694953699</v>
      </c>
      <c r="B620" s="35" t="s">
        <v>4105</v>
      </c>
      <c r="C620" s="35" t="s">
        <v>4106</v>
      </c>
      <c r="D620" s="35" t="s">
        <v>2034</v>
      </c>
      <c r="E620" s="38" t="s">
        <v>4107</v>
      </c>
      <c r="F620" s="35" t="s">
        <v>4109</v>
      </c>
      <c r="G620" s="35" t="s">
        <v>739</v>
      </c>
      <c r="H620" s="35" t="s">
        <v>33</v>
      </c>
      <c r="I620" s="35" t="s">
        <v>4110</v>
      </c>
      <c r="J620" s="35" t="s">
        <v>48</v>
      </c>
      <c r="K620" s="327"/>
      <c r="L620" s="327"/>
      <c r="M620" s="35" t="s">
        <v>83</v>
      </c>
      <c r="O620" s="35" t="s">
        <v>26</v>
      </c>
    </row>
    <row r="621" spans="1:15" ht="13">
      <c r="A621" s="33">
        <v>43937.262792546295</v>
      </c>
      <c r="B621" s="35" t="s">
        <v>2357</v>
      </c>
      <c r="C621" s="35" t="s">
        <v>2358</v>
      </c>
      <c r="D621" s="35" t="s">
        <v>2360</v>
      </c>
      <c r="E621" s="328" t="s">
        <v>2357</v>
      </c>
      <c r="F621" s="35" t="s">
        <v>2361</v>
      </c>
      <c r="G621" s="35" t="s">
        <v>452</v>
      </c>
      <c r="H621" s="35" t="s">
        <v>33</v>
      </c>
      <c r="I621" s="328" t="s">
        <v>2362</v>
      </c>
      <c r="J621" s="328" t="s">
        <v>35</v>
      </c>
      <c r="K621" s="327"/>
      <c r="L621" s="327"/>
      <c r="M621" s="328" t="s">
        <v>83</v>
      </c>
      <c r="O621" s="35" t="s">
        <v>26</v>
      </c>
    </row>
    <row r="622" spans="1:15" ht="13">
      <c r="A622" s="33">
        <v>43937.270989780096</v>
      </c>
      <c r="B622" s="35" t="s">
        <v>8544</v>
      </c>
      <c r="C622" s="35" t="s">
        <v>8545</v>
      </c>
      <c r="D622" s="35" t="s">
        <v>8546</v>
      </c>
      <c r="E622" s="328" t="s">
        <v>8548</v>
      </c>
      <c r="F622" s="327"/>
      <c r="G622" s="35" t="s">
        <v>8549</v>
      </c>
      <c r="H622" s="35" t="s">
        <v>33</v>
      </c>
      <c r="I622" s="35" t="s">
        <v>8550</v>
      </c>
      <c r="J622" s="35" t="s">
        <v>104</v>
      </c>
      <c r="K622" s="328" t="s">
        <v>8551</v>
      </c>
      <c r="M622" s="35" t="s">
        <v>83</v>
      </c>
      <c r="O622" s="35" t="s">
        <v>26</v>
      </c>
    </row>
    <row r="623" spans="1:15" ht="13">
      <c r="A623" s="33">
        <v>43937.277221157405</v>
      </c>
      <c r="B623" s="35" t="s">
        <v>1919</v>
      </c>
      <c r="C623" s="35" t="s">
        <v>1920</v>
      </c>
      <c r="D623" s="35" t="s">
        <v>1153</v>
      </c>
      <c r="E623" s="38" t="s">
        <v>1921</v>
      </c>
      <c r="F623" s="35" t="s">
        <v>1922</v>
      </c>
      <c r="G623" s="35" t="s">
        <v>709</v>
      </c>
      <c r="H623" s="35" t="s">
        <v>33</v>
      </c>
      <c r="I623" s="35" t="s">
        <v>1923</v>
      </c>
      <c r="J623" s="35" t="s">
        <v>35</v>
      </c>
      <c r="K623" s="328" t="s">
        <v>1924</v>
      </c>
      <c r="L623" s="328" t="s">
        <v>1925</v>
      </c>
      <c r="M623" s="35" t="s">
        <v>83</v>
      </c>
      <c r="O623" s="35" t="s">
        <v>26</v>
      </c>
    </row>
    <row r="624" spans="1:15" ht="13">
      <c r="A624" s="33">
        <v>43937.284317997684</v>
      </c>
      <c r="B624" s="35" t="s">
        <v>6896</v>
      </c>
      <c r="C624" s="35" t="s">
        <v>1920</v>
      </c>
      <c r="D624" s="35" t="s">
        <v>1153</v>
      </c>
      <c r="E624" s="38" t="s">
        <v>6897</v>
      </c>
      <c r="F624" s="327"/>
      <c r="G624" s="35" t="s">
        <v>6898</v>
      </c>
      <c r="H624" s="35" t="s">
        <v>33</v>
      </c>
      <c r="I624" s="35" t="s">
        <v>6899</v>
      </c>
      <c r="J624" s="35" t="s">
        <v>81</v>
      </c>
      <c r="K624" s="328" t="s">
        <v>6900</v>
      </c>
      <c r="M624" s="35" t="s">
        <v>83</v>
      </c>
      <c r="O624" s="35" t="s">
        <v>26</v>
      </c>
    </row>
    <row r="625" spans="1:15" ht="13" hidden="1">
      <c r="A625" s="33">
        <v>43937.313072800927</v>
      </c>
      <c r="B625" s="35" t="s">
        <v>5592</v>
      </c>
      <c r="C625" s="35" t="s">
        <v>5593</v>
      </c>
      <c r="D625" s="35" t="s">
        <v>5594</v>
      </c>
      <c r="E625" s="38" t="s">
        <v>5595</v>
      </c>
      <c r="F625" s="35" t="s">
        <v>5596</v>
      </c>
      <c r="G625" s="35" t="s">
        <v>5597</v>
      </c>
      <c r="H625" s="35" t="s">
        <v>46</v>
      </c>
      <c r="I625" s="35" t="s">
        <v>5598</v>
      </c>
      <c r="J625" s="35" t="s">
        <v>81</v>
      </c>
      <c r="K625" s="35" t="s">
        <v>5599</v>
      </c>
      <c r="L625" s="35" t="s">
        <v>5600</v>
      </c>
      <c r="M625" s="35" t="s">
        <v>83</v>
      </c>
      <c r="N625" s="35" t="s">
        <v>68</v>
      </c>
      <c r="O625" s="35" t="s">
        <v>26</v>
      </c>
    </row>
    <row r="626" spans="1:15" ht="13">
      <c r="A626" s="33">
        <v>43937.358729965279</v>
      </c>
      <c r="B626" s="35" t="s">
        <v>2378</v>
      </c>
      <c r="C626" s="35" t="s">
        <v>2379</v>
      </c>
      <c r="D626" s="35" t="s">
        <v>2380</v>
      </c>
      <c r="E626" s="38" t="s">
        <v>2381</v>
      </c>
      <c r="F626" s="328" t="s">
        <v>2384</v>
      </c>
      <c r="G626" s="35" t="s">
        <v>519</v>
      </c>
      <c r="H626" s="35" t="s">
        <v>33</v>
      </c>
      <c r="I626" s="35" t="s">
        <v>15</v>
      </c>
      <c r="J626" s="35" t="s">
        <v>104</v>
      </c>
      <c r="K626" s="327"/>
      <c r="M626" s="35" t="s">
        <v>67</v>
      </c>
      <c r="O626" s="35" t="s">
        <v>26</v>
      </c>
    </row>
    <row r="627" spans="1:15" ht="13">
      <c r="A627" s="33">
        <v>43937.37655241898</v>
      </c>
      <c r="B627" s="35" t="s">
        <v>9525</v>
      </c>
      <c r="C627" s="35" t="s">
        <v>9526</v>
      </c>
      <c r="D627" s="35" t="s">
        <v>2380</v>
      </c>
      <c r="E627" s="304" t="s">
        <v>9527</v>
      </c>
      <c r="F627" s="35" t="s">
        <v>9528</v>
      </c>
      <c r="G627" s="35" t="s">
        <v>63</v>
      </c>
      <c r="H627" s="35" t="s">
        <v>33</v>
      </c>
      <c r="I627" s="319" t="s">
        <v>9423</v>
      </c>
      <c r="J627" s="327"/>
      <c r="K627" s="327"/>
      <c r="L627" s="327"/>
      <c r="M627" s="327"/>
      <c r="N627" s="327"/>
      <c r="O627" s="35" t="s">
        <v>26</v>
      </c>
    </row>
    <row r="628" spans="1:15" ht="13" hidden="1">
      <c r="A628" s="33">
        <v>43937.492462789349</v>
      </c>
      <c r="B628" s="35" t="s">
        <v>5619</v>
      </c>
      <c r="C628" s="35" t="s">
        <v>282</v>
      </c>
      <c r="D628" s="35" t="s">
        <v>5620</v>
      </c>
      <c r="E628" s="38" t="s">
        <v>5621</v>
      </c>
      <c r="F628" s="35" t="s">
        <v>5622</v>
      </c>
      <c r="G628" s="35" t="s">
        <v>5623</v>
      </c>
      <c r="H628" s="35" t="s">
        <v>46</v>
      </c>
      <c r="I628" s="35" t="s">
        <v>5624</v>
      </c>
      <c r="J628" s="35" t="s">
        <v>35</v>
      </c>
      <c r="M628" s="35" t="s">
        <v>83</v>
      </c>
      <c r="N628" s="35" t="s">
        <v>581</v>
      </c>
      <c r="O628" s="35" t="s">
        <v>26</v>
      </c>
    </row>
    <row r="629" spans="1:15" ht="13" hidden="1">
      <c r="A629" s="33">
        <v>43937.585715312496</v>
      </c>
      <c r="B629" s="35" t="s">
        <v>5625</v>
      </c>
      <c r="C629" s="35" t="s">
        <v>5626</v>
      </c>
      <c r="D629" s="35" t="s">
        <v>5627</v>
      </c>
      <c r="E629" s="38" t="s">
        <v>5628</v>
      </c>
      <c r="F629" s="35" t="s">
        <v>5632</v>
      </c>
      <c r="G629" s="35" t="s">
        <v>32</v>
      </c>
      <c r="H629" s="35" t="s">
        <v>46</v>
      </c>
      <c r="I629" s="35" t="s">
        <v>5633</v>
      </c>
      <c r="J629" s="35" t="s">
        <v>48</v>
      </c>
      <c r="K629" s="35" t="s">
        <v>5634</v>
      </c>
      <c r="L629" s="35" t="s">
        <v>5635</v>
      </c>
      <c r="M629" s="35" t="s">
        <v>67</v>
      </c>
      <c r="N629" s="35" t="s">
        <v>92</v>
      </c>
      <c r="O629" s="35" t="s">
        <v>26</v>
      </c>
    </row>
    <row r="630" spans="1:15" ht="13" hidden="1">
      <c r="A630" s="33">
        <v>43937.788338738421</v>
      </c>
      <c r="B630" s="35" t="s">
        <v>5636</v>
      </c>
      <c r="C630" s="35" t="s">
        <v>307</v>
      </c>
      <c r="D630" s="35" t="s">
        <v>5627</v>
      </c>
      <c r="E630" s="38" t="s">
        <v>5637</v>
      </c>
      <c r="F630" s="35" t="s">
        <v>5638</v>
      </c>
      <c r="G630" s="35" t="s">
        <v>214</v>
      </c>
      <c r="H630" s="35" t="s">
        <v>46</v>
      </c>
      <c r="I630" s="35" t="s">
        <v>5639</v>
      </c>
      <c r="J630" s="35" t="s">
        <v>48</v>
      </c>
      <c r="M630" s="35" t="s">
        <v>83</v>
      </c>
      <c r="O630" s="35" t="s">
        <v>26</v>
      </c>
    </row>
    <row r="631" spans="1:15" ht="13" hidden="1">
      <c r="A631" s="33">
        <v>43937.795427002318</v>
      </c>
      <c r="B631" s="35" t="s">
        <v>5640</v>
      </c>
      <c r="C631" s="35" t="s">
        <v>5641</v>
      </c>
      <c r="D631" s="35" t="s">
        <v>4133</v>
      </c>
      <c r="E631" s="38" t="s">
        <v>5642</v>
      </c>
      <c r="F631" s="35" t="s">
        <v>5648</v>
      </c>
      <c r="G631" s="35" t="s">
        <v>880</v>
      </c>
      <c r="H631" s="35" t="s">
        <v>387</v>
      </c>
      <c r="I631" s="35" t="s">
        <v>5649</v>
      </c>
      <c r="J631" s="35" t="s">
        <v>104</v>
      </c>
      <c r="M631" s="35" t="s">
        <v>83</v>
      </c>
      <c r="O631" s="35" t="s">
        <v>26</v>
      </c>
    </row>
    <row r="632" spans="1:15" ht="13">
      <c r="A632" s="33">
        <v>43937.818964270831</v>
      </c>
      <c r="B632" s="35" t="s">
        <v>4932</v>
      </c>
      <c r="C632" s="35" t="s">
        <v>4933</v>
      </c>
      <c r="D632" s="35" t="s">
        <v>4934</v>
      </c>
      <c r="E632" s="328" t="s">
        <v>4935</v>
      </c>
      <c r="F632" s="35" t="s">
        <v>4936</v>
      </c>
      <c r="G632" s="35" t="s">
        <v>4937</v>
      </c>
      <c r="H632" s="35" t="s">
        <v>33</v>
      </c>
      <c r="I632" s="35" t="s">
        <v>4938</v>
      </c>
      <c r="J632" s="35" t="s">
        <v>48</v>
      </c>
      <c r="K632" s="328" t="s">
        <v>4939</v>
      </c>
      <c r="L632" s="328" t="s">
        <v>4940</v>
      </c>
      <c r="M632" s="35" t="s">
        <v>67</v>
      </c>
      <c r="O632" s="35" t="s">
        <v>26</v>
      </c>
    </row>
    <row r="633" spans="1:15" ht="13" hidden="1">
      <c r="A633" s="33">
        <v>43937.882334108799</v>
      </c>
      <c r="B633" s="35" t="s">
        <v>5660</v>
      </c>
      <c r="C633" s="35" t="s">
        <v>5661</v>
      </c>
      <c r="D633" s="35" t="s">
        <v>5662</v>
      </c>
      <c r="E633" s="35" t="s">
        <v>5663</v>
      </c>
      <c r="F633" s="35" t="s">
        <v>5665</v>
      </c>
      <c r="G633" s="35" t="s">
        <v>1349</v>
      </c>
      <c r="H633" s="35" t="s">
        <v>399</v>
      </c>
      <c r="I633" s="35" t="s">
        <v>5666</v>
      </c>
      <c r="J633" s="35" t="s">
        <v>48</v>
      </c>
      <c r="K633" s="35" t="s">
        <v>5667</v>
      </c>
      <c r="L633" s="35" t="s">
        <v>5668</v>
      </c>
      <c r="M633" s="35" t="s">
        <v>83</v>
      </c>
      <c r="O633" s="35" t="s">
        <v>26</v>
      </c>
    </row>
    <row r="634" spans="1:15" ht="13">
      <c r="A634" s="33">
        <v>43937.92409453704</v>
      </c>
      <c r="B634" s="328" t="s">
        <v>3670</v>
      </c>
      <c r="C634" s="328" t="s">
        <v>3671</v>
      </c>
      <c r="D634" s="328" t="s">
        <v>3672</v>
      </c>
      <c r="E634" s="38" t="s">
        <v>3673</v>
      </c>
      <c r="F634" s="328" t="s">
        <v>3675</v>
      </c>
      <c r="G634" s="328" t="s">
        <v>394</v>
      </c>
      <c r="H634" s="328" t="s">
        <v>33</v>
      </c>
      <c r="I634" s="328" t="s">
        <v>3676</v>
      </c>
      <c r="J634" s="328" t="s">
        <v>48</v>
      </c>
      <c r="K634" s="327"/>
      <c r="L634" s="327"/>
      <c r="M634" s="328" t="s">
        <v>83</v>
      </c>
      <c r="N634" s="327"/>
      <c r="O634" s="35" t="s">
        <v>26</v>
      </c>
    </row>
    <row r="635" spans="1:15" ht="13">
      <c r="A635" s="33">
        <v>43937.933000462959</v>
      </c>
      <c r="B635" s="35" t="s">
        <v>8498</v>
      </c>
      <c r="C635" s="35" t="s">
        <v>8499</v>
      </c>
      <c r="D635" s="35" t="s">
        <v>8500</v>
      </c>
      <c r="E635" s="38" t="s">
        <v>8501</v>
      </c>
      <c r="F635" s="327"/>
      <c r="G635" s="35" t="s">
        <v>394</v>
      </c>
      <c r="H635" s="35" t="s">
        <v>33</v>
      </c>
      <c r="I635" s="35" t="s">
        <v>8502</v>
      </c>
      <c r="J635" s="35" t="s">
        <v>35</v>
      </c>
      <c r="K635" s="328" t="s">
        <v>8503</v>
      </c>
      <c r="L635" s="328" t="s">
        <v>8504</v>
      </c>
      <c r="M635" s="35" t="s">
        <v>83</v>
      </c>
      <c r="N635" s="328" t="s">
        <v>8505</v>
      </c>
      <c r="O635" s="35" t="s">
        <v>26</v>
      </c>
    </row>
    <row r="636" spans="1:15" ht="13">
      <c r="A636" s="33">
        <v>43937.976036342588</v>
      </c>
      <c r="B636" s="35" t="s">
        <v>7819</v>
      </c>
      <c r="C636" s="35" t="s">
        <v>7820</v>
      </c>
      <c r="D636" s="35" t="s">
        <v>7821</v>
      </c>
      <c r="E636" s="38" t="s">
        <v>7822</v>
      </c>
      <c r="F636" s="327"/>
      <c r="G636" s="35" t="s">
        <v>7824</v>
      </c>
      <c r="H636" s="35" t="s">
        <v>33</v>
      </c>
      <c r="I636" s="35" t="s">
        <v>7825</v>
      </c>
      <c r="J636" s="35" t="s">
        <v>48</v>
      </c>
      <c r="K636" s="328" t="s">
        <v>7826</v>
      </c>
      <c r="L636" s="328" t="s">
        <v>7827</v>
      </c>
      <c r="M636" s="35" t="s">
        <v>83</v>
      </c>
      <c r="N636" s="328" t="s">
        <v>7828</v>
      </c>
      <c r="O636" s="35" t="s">
        <v>26</v>
      </c>
    </row>
    <row r="637" spans="1:15" ht="13" hidden="1">
      <c r="A637" s="33">
        <v>43937.977590393522</v>
      </c>
      <c r="B637" s="35" t="s">
        <v>5698</v>
      </c>
      <c r="C637" s="35" t="s">
        <v>5699</v>
      </c>
      <c r="D637" s="35" t="s">
        <v>5700</v>
      </c>
      <c r="E637" s="38" t="s">
        <v>5701</v>
      </c>
      <c r="F637" s="35" t="s">
        <v>5702</v>
      </c>
      <c r="G637" s="35" t="s">
        <v>363</v>
      </c>
      <c r="H637" s="35" t="s">
        <v>46</v>
      </c>
      <c r="I637" s="35" t="s">
        <v>5703</v>
      </c>
      <c r="J637" s="35" t="s">
        <v>35</v>
      </c>
      <c r="K637" s="35" t="s">
        <v>5704</v>
      </c>
      <c r="L637" s="35" t="s">
        <v>5705</v>
      </c>
      <c r="M637" s="35" t="s">
        <v>67</v>
      </c>
      <c r="N637" s="35" t="s">
        <v>5706</v>
      </c>
      <c r="O637" s="35" t="s">
        <v>26</v>
      </c>
    </row>
    <row r="638" spans="1:15" ht="13">
      <c r="A638" s="33">
        <v>43937.988299988428</v>
      </c>
      <c r="B638" s="35" t="s">
        <v>7263</v>
      </c>
      <c r="C638" s="328" t="s">
        <v>7264</v>
      </c>
      <c r="D638" s="328" t="s">
        <v>7265</v>
      </c>
      <c r="E638" s="38" t="s">
        <v>7266</v>
      </c>
      <c r="F638" s="327"/>
      <c r="G638" s="328" t="s">
        <v>7270</v>
      </c>
      <c r="H638" s="328" t="s">
        <v>33</v>
      </c>
      <c r="I638" s="328" t="s">
        <v>7271</v>
      </c>
      <c r="J638" s="328" t="s">
        <v>48</v>
      </c>
      <c r="K638" s="327"/>
      <c r="L638" s="327"/>
      <c r="M638" s="328" t="s">
        <v>67</v>
      </c>
      <c r="N638" s="327"/>
      <c r="O638" s="35" t="s">
        <v>26</v>
      </c>
    </row>
    <row r="639" spans="1:15" ht="13">
      <c r="A639" s="33">
        <v>43938.001275972223</v>
      </c>
      <c r="B639" s="35" t="s">
        <v>5318</v>
      </c>
      <c r="C639" s="35" t="s">
        <v>5319</v>
      </c>
      <c r="D639" s="35" t="s">
        <v>5063</v>
      </c>
      <c r="E639" s="328" t="s">
        <v>5320</v>
      </c>
      <c r="F639" s="35" t="s">
        <v>5321</v>
      </c>
      <c r="G639" s="35" t="s">
        <v>394</v>
      </c>
      <c r="H639" s="35" t="s">
        <v>33</v>
      </c>
      <c r="I639" s="35" t="s">
        <v>5322</v>
      </c>
      <c r="J639" s="35" t="s">
        <v>104</v>
      </c>
      <c r="K639" s="328" t="s">
        <v>5323</v>
      </c>
      <c r="L639" s="328" t="s">
        <v>5324</v>
      </c>
      <c r="M639" s="35" t="s">
        <v>83</v>
      </c>
      <c r="O639" s="35" t="s">
        <v>26</v>
      </c>
    </row>
    <row r="640" spans="1:15" ht="13">
      <c r="A640" s="33">
        <v>43938.07691231482</v>
      </c>
      <c r="B640" s="35" t="s">
        <v>5495</v>
      </c>
      <c r="C640" s="35" t="s">
        <v>980</v>
      </c>
      <c r="D640" s="35" t="s">
        <v>5496</v>
      </c>
      <c r="E640" s="38" t="s">
        <v>5497</v>
      </c>
      <c r="F640" s="328" t="s">
        <v>5504</v>
      </c>
      <c r="G640" s="35" t="s">
        <v>394</v>
      </c>
      <c r="H640" s="35" t="s">
        <v>33</v>
      </c>
      <c r="I640" s="35" t="s">
        <v>5505</v>
      </c>
      <c r="J640" s="35" t="s">
        <v>48</v>
      </c>
      <c r="K640" s="328" t="s">
        <v>5506</v>
      </c>
      <c r="L640" s="328" t="s">
        <v>5507</v>
      </c>
      <c r="M640" s="35" t="s">
        <v>67</v>
      </c>
      <c r="O640" s="35" t="s">
        <v>26</v>
      </c>
    </row>
    <row r="641" spans="1:15" ht="13">
      <c r="A641" s="33">
        <v>43938.197886851849</v>
      </c>
      <c r="B641" s="35" t="s">
        <v>9141</v>
      </c>
      <c r="C641" s="35" t="s">
        <v>9142</v>
      </c>
      <c r="D641" s="328" t="s">
        <v>9143</v>
      </c>
      <c r="E641" s="38" t="s">
        <v>9144</v>
      </c>
      <c r="F641" s="327"/>
      <c r="G641" s="35" t="s">
        <v>7020</v>
      </c>
      <c r="H641" s="35" t="s">
        <v>33</v>
      </c>
      <c r="I641" s="35" t="s">
        <v>9145</v>
      </c>
      <c r="J641" s="35" t="s">
        <v>48</v>
      </c>
      <c r="K641" s="328" t="s">
        <v>9146</v>
      </c>
      <c r="L641" s="328" t="s">
        <v>9147</v>
      </c>
      <c r="M641" s="35" t="s">
        <v>83</v>
      </c>
      <c r="N641" s="328" t="s">
        <v>83</v>
      </c>
      <c r="O641" s="35" t="s">
        <v>26</v>
      </c>
    </row>
    <row r="642" spans="1:15" ht="13" hidden="1">
      <c r="A642" s="33">
        <v>43938.242100868054</v>
      </c>
      <c r="B642" s="35" t="s">
        <v>5742</v>
      </c>
      <c r="C642" s="35" t="s">
        <v>307</v>
      </c>
      <c r="D642" s="35" t="s">
        <v>5743</v>
      </c>
      <c r="E642" s="38" t="s">
        <v>5744</v>
      </c>
      <c r="F642" s="35" t="s">
        <v>5745</v>
      </c>
      <c r="G642" s="35" t="s">
        <v>4929</v>
      </c>
      <c r="H642" s="35" t="s">
        <v>506</v>
      </c>
      <c r="I642" s="35" t="s">
        <v>5746</v>
      </c>
      <c r="J642" s="35" t="s">
        <v>81</v>
      </c>
      <c r="K642" s="35" t="s">
        <v>5747</v>
      </c>
      <c r="M642" s="35" t="s">
        <v>83</v>
      </c>
      <c r="N642" s="35" t="s">
        <v>5748</v>
      </c>
      <c r="O642" s="35" t="s">
        <v>26</v>
      </c>
    </row>
    <row r="643" spans="1:15" ht="13" hidden="1">
      <c r="A643" s="33">
        <v>43938.249127303236</v>
      </c>
      <c r="B643" s="35" t="s">
        <v>5749</v>
      </c>
      <c r="C643" s="35" t="s">
        <v>5750</v>
      </c>
      <c r="D643" s="35" t="s">
        <v>5751</v>
      </c>
      <c r="E643" s="38" t="s">
        <v>5752</v>
      </c>
      <c r="F643" s="35" t="s">
        <v>5756</v>
      </c>
      <c r="G643" s="35" t="s">
        <v>3386</v>
      </c>
      <c r="H643" s="35" t="s">
        <v>1663</v>
      </c>
      <c r="I643" s="35" t="s">
        <v>5757</v>
      </c>
      <c r="J643" s="35" t="s">
        <v>104</v>
      </c>
      <c r="K643" s="35" t="s">
        <v>5758</v>
      </c>
      <c r="L643" s="35" t="s">
        <v>5759</v>
      </c>
      <c r="M643" s="35" t="s">
        <v>83</v>
      </c>
      <c r="O643" s="35" t="s">
        <v>26</v>
      </c>
    </row>
    <row r="644" spans="1:15" ht="13" hidden="1">
      <c r="A644" s="33">
        <v>43938.28086402778</v>
      </c>
      <c r="B644" s="35" t="s">
        <v>5760</v>
      </c>
      <c r="C644" s="35" t="s">
        <v>5761</v>
      </c>
      <c r="D644" s="35" t="s">
        <v>5743</v>
      </c>
      <c r="E644" s="38" t="s">
        <v>5762</v>
      </c>
      <c r="F644" s="35" t="s">
        <v>5763</v>
      </c>
      <c r="G644" s="35" t="s">
        <v>802</v>
      </c>
      <c r="H644" s="35" t="s">
        <v>506</v>
      </c>
      <c r="I644" s="35" t="s">
        <v>5764</v>
      </c>
      <c r="J644" s="35" t="s">
        <v>48</v>
      </c>
      <c r="K644" s="35" t="s">
        <v>5765</v>
      </c>
      <c r="M644" s="35" t="s">
        <v>83</v>
      </c>
      <c r="N644" s="35" t="s">
        <v>68</v>
      </c>
      <c r="O644" s="35" t="s">
        <v>26</v>
      </c>
    </row>
    <row r="645" spans="1:15" ht="13" hidden="1">
      <c r="A645" s="33">
        <v>43938.280929270833</v>
      </c>
      <c r="B645" s="35" t="s">
        <v>5766</v>
      </c>
      <c r="C645" s="35" t="s">
        <v>3458</v>
      </c>
      <c r="D645" s="35" t="s">
        <v>5743</v>
      </c>
      <c r="E645" s="38" t="s">
        <v>5767</v>
      </c>
      <c r="F645" s="35" t="s">
        <v>5769</v>
      </c>
      <c r="G645" s="35" t="s">
        <v>473</v>
      </c>
      <c r="H645" s="35" t="s">
        <v>506</v>
      </c>
      <c r="I645" s="35" t="s">
        <v>5771</v>
      </c>
      <c r="J645" s="35" t="s">
        <v>48</v>
      </c>
      <c r="K645" s="35" t="s">
        <v>5773</v>
      </c>
      <c r="M645" s="35" t="s">
        <v>67</v>
      </c>
      <c r="N645" s="35" t="s">
        <v>5774</v>
      </c>
      <c r="O645" s="35" t="s">
        <v>26</v>
      </c>
    </row>
    <row r="646" spans="1:15" ht="13" hidden="1">
      <c r="A646" s="33">
        <v>43938.292237141199</v>
      </c>
      <c r="B646" s="35" t="s">
        <v>5775</v>
      </c>
      <c r="C646" s="35" t="s">
        <v>5776</v>
      </c>
      <c r="D646" s="35" t="s">
        <v>5743</v>
      </c>
      <c r="E646" s="38" t="s">
        <v>5777</v>
      </c>
      <c r="F646" s="35" t="s">
        <v>5778</v>
      </c>
      <c r="G646" s="35" t="s">
        <v>214</v>
      </c>
      <c r="H646" s="35" t="s">
        <v>506</v>
      </c>
      <c r="I646" s="35" t="s">
        <v>5771</v>
      </c>
      <c r="J646" s="35" t="s">
        <v>81</v>
      </c>
      <c r="M646" s="35" t="s">
        <v>83</v>
      </c>
      <c r="N646" s="35" t="s">
        <v>68</v>
      </c>
      <c r="O646" s="35" t="s">
        <v>26</v>
      </c>
    </row>
    <row r="647" spans="1:15" ht="13" hidden="1">
      <c r="A647" s="33">
        <v>43938.339681122685</v>
      </c>
      <c r="B647" s="35" t="s">
        <v>5779</v>
      </c>
      <c r="C647" s="35" t="s">
        <v>5780</v>
      </c>
      <c r="D647" s="35" t="s">
        <v>5743</v>
      </c>
      <c r="E647" s="38" t="s">
        <v>5781</v>
      </c>
      <c r="F647" s="35" t="s">
        <v>5782</v>
      </c>
      <c r="G647" s="35" t="s">
        <v>5783</v>
      </c>
      <c r="H647" s="35" t="s">
        <v>506</v>
      </c>
      <c r="I647" s="35" t="s">
        <v>1267</v>
      </c>
      <c r="J647" s="35" t="s">
        <v>48</v>
      </c>
      <c r="M647" s="35" t="s">
        <v>83</v>
      </c>
      <c r="O647" s="35" t="s">
        <v>26</v>
      </c>
    </row>
    <row r="648" spans="1:15" ht="13" hidden="1">
      <c r="A648" s="33">
        <v>43938.34147190972</v>
      </c>
      <c r="B648" s="35" t="s">
        <v>5784</v>
      </c>
      <c r="C648" s="35" t="s">
        <v>5785</v>
      </c>
      <c r="D648" s="35" t="s">
        <v>5743</v>
      </c>
      <c r="E648" s="38" t="s">
        <v>5786</v>
      </c>
      <c r="F648" s="35" t="s">
        <v>5787</v>
      </c>
      <c r="G648" s="35" t="s">
        <v>288</v>
      </c>
      <c r="H648" s="35" t="s">
        <v>506</v>
      </c>
      <c r="I648" s="35" t="s">
        <v>5788</v>
      </c>
      <c r="J648" s="35" t="s">
        <v>48</v>
      </c>
      <c r="K648" s="35" t="s">
        <v>5789</v>
      </c>
      <c r="M648" s="35" t="s">
        <v>83</v>
      </c>
      <c r="O648" s="35" t="s">
        <v>26</v>
      </c>
    </row>
    <row r="649" spans="1:15" ht="13">
      <c r="A649" s="33">
        <v>43938.362096342593</v>
      </c>
      <c r="B649" s="35" t="s">
        <v>4221</v>
      </c>
      <c r="C649" s="35" t="s">
        <v>4222</v>
      </c>
      <c r="D649" s="35" t="s">
        <v>4223</v>
      </c>
      <c r="E649" s="38" t="s">
        <v>4224</v>
      </c>
      <c r="F649" s="35" t="s">
        <v>4226</v>
      </c>
      <c r="G649" s="35" t="s">
        <v>463</v>
      </c>
      <c r="H649" s="35" t="s">
        <v>33</v>
      </c>
      <c r="I649" s="35" t="s">
        <v>4227</v>
      </c>
      <c r="J649" s="35" t="s">
        <v>48</v>
      </c>
      <c r="K649" s="328" t="s">
        <v>4228</v>
      </c>
      <c r="L649" s="327"/>
      <c r="M649" s="35" t="s">
        <v>83</v>
      </c>
      <c r="N649" s="327"/>
      <c r="O649" s="35" t="s">
        <v>26</v>
      </c>
    </row>
    <row r="650" spans="1:15" ht="13" hidden="1">
      <c r="A650" s="33">
        <v>43938.393488379632</v>
      </c>
      <c r="B650" s="35" t="s">
        <v>5801</v>
      </c>
      <c r="C650" s="35" t="s">
        <v>1576</v>
      </c>
      <c r="D650" s="35" t="s">
        <v>5802</v>
      </c>
      <c r="E650" s="38" t="s">
        <v>5803</v>
      </c>
      <c r="F650" s="35" t="s">
        <v>5804</v>
      </c>
      <c r="G650" s="35" t="s">
        <v>5805</v>
      </c>
      <c r="H650" s="35" t="s">
        <v>1663</v>
      </c>
      <c r="I650" s="35" t="s">
        <v>5806</v>
      </c>
      <c r="J650" s="35" t="s">
        <v>35</v>
      </c>
      <c r="K650" s="35" t="s">
        <v>5807</v>
      </c>
      <c r="L650" s="35" t="s">
        <v>5808</v>
      </c>
      <c r="M650" s="35" t="s">
        <v>83</v>
      </c>
      <c r="O650" s="35" t="s">
        <v>26</v>
      </c>
    </row>
    <row r="651" spans="1:15" ht="13">
      <c r="A651" s="33">
        <v>43938.737880706016</v>
      </c>
      <c r="B651" s="35" t="s">
        <v>5825</v>
      </c>
      <c r="C651" s="35" t="s">
        <v>5826</v>
      </c>
      <c r="D651" s="35" t="s">
        <v>5827</v>
      </c>
      <c r="E651" s="38" t="s">
        <v>5828</v>
      </c>
      <c r="F651" s="35" t="s">
        <v>5829</v>
      </c>
      <c r="G651" s="35" t="s">
        <v>220</v>
      </c>
      <c r="H651" s="35" t="s">
        <v>33</v>
      </c>
      <c r="I651" s="35" t="s">
        <v>5831</v>
      </c>
      <c r="J651" s="35" t="s">
        <v>48</v>
      </c>
      <c r="K651" s="35" t="s">
        <v>5832</v>
      </c>
      <c r="M651" s="35" t="s">
        <v>67</v>
      </c>
      <c r="O651" s="35" t="s">
        <v>26</v>
      </c>
    </row>
    <row r="652" spans="1:15" ht="13" hidden="1">
      <c r="A652" s="33">
        <v>43938.87686650463</v>
      </c>
      <c r="B652" s="35" t="s">
        <v>5817</v>
      </c>
      <c r="C652" s="35" t="s">
        <v>5819</v>
      </c>
      <c r="D652" s="35" t="s">
        <v>5820</v>
      </c>
      <c r="E652" s="38" t="s">
        <v>5821</v>
      </c>
      <c r="F652" s="35" t="s">
        <v>5822</v>
      </c>
      <c r="G652" s="35" t="s">
        <v>1175</v>
      </c>
      <c r="H652" s="35" t="s">
        <v>387</v>
      </c>
      <c r="I652" s="35" t="s">
        <v>5823</v>
      </c>
      <c r="J652" s="35" t="s">
        <v>35</v>
      </c>
      <c r="M652" s="35" t="s">
        <v>83</v>
      </c>
      <c r="N652" s="35" t="s">
        <v>5824</v>
      </c>
      <c r="O652" s="35" t="s">
        <v>26</v>
      </c>
    </row>
    <row r="653" spans="1:15" ht="13">
      <c r="A653" s="33">
        <v>43938.913362766209</v>
      </c>
      <c r="B653" s="35" t="s">
        <v>7311</v>
      </c>
      <c r="C653" s="35" t="s">
        <v>7312</v>
      </c>
      <c r="D653" s="35" t="s">
        <v>2141</v>
      </c>
      <c r="E653" s="38" t="s">
        <v>7313</v>
      </c>
      <c r="F653" s="327"/>
      <c r="G653" s="35" t="s">
        <v>739</v>
      </c>
      <c r="H653" s="35" t="s">
        <v>33</v>
      </c>
      <c r="I653" s="328" t="s">
        <v>7314</v>
      </c>
      <c r="J653" s="328" t="s">
        <v>48</v>
      </c>
      <c r="K653" s="327"/>
      <c r="M653" s="328" t="s">
        <v>67</v>
      </c>
      <c r="O653" s="35" t="s">
        <v>26</v>
      </c>
    </row>
    <row r="654" spans="1:15" ht="13" hidden="1">
      <c r="A654" s="33">
        <v>43938.935037835647</v>
      </c>
      <c r="B654" s="35" t="s">
        <v>5833</v>
      </c>
      <c r="C654" s="35" t="s">
        <v>5834</v>
      </c>
      <c r="D654" s="35" t="s">
        <v>5835</v>
      </c>
      <c r="E654" s="38" t="s">
        <v>5836</v>
      </c>
      <c r="F654" s="35" t="s">
        <v>5842</v>
      </c>
      <c r="G654" s="35" t="s">
        <v>5843</v>
      </c>
      <c r="H654" s="35" t="s">
        <v>46</v>
      </c>
      <c r="I654" s="35" t="s">
        <v>5844</v>
      </c>
      <c r="J654" s="35" t="s">
        <v>81</v>
      </c>
      <c r="M654" s="35" t="s">
        <v>67</v>
      </c>
      <c r="O654" s="35" t="s">
        <v>26</v>
      </c>
    </row>
    <row r="655" spans="1:15" ht="13">
      <c r="A655" s="33">
        <v>43939.016726817128</v>
      </c>
      <c r="B655" s="35" t="s">
        <v>2483</v>
      </c>
      <c r="C655" s="35" t="s">
        <v>2484</v>
      </c>
      <c r="D655" s="38" t="s">
        <v>2277</v>
      </c>
      <c r="E655" s="38" t="s">
        <v>2485</v>
      </c>
      <c r="F655" s="328" t="s">
        <v>2491</v>
      </c>
      <c r="G655" s="35" t="s">
        <v>344</v>
      </c>
      <c r="H655" s="35" t="s">
        <v>33</v>
      </c>
      <c r="I655" s="35" t="s">
        <v>2492</v>
      </c>
      <c r="J655" s="35" t="s">
        <v>35</v>
      </c>
      <c r="K655" s="328" t="s">
        <v>2492</v>
      </c>
      <c r="L655" s="328" t="s">
        <v>2493</v>
      </c>
      <c r="M655" s="35" t="s">
        <v>83</v>
      </c>
      <c r="O655" s="35" t="s">
        <v>26</v>
      </c>
    </row>
    <row r="656" spans="1:15" ht="13">
      <c r="A656" s="33">
        <v>43939.031317488421</v>
      </c>
      <c r="B656" s="35" t="s">
        <v>6675</v>
      </c>
      <c r="C656" s="35" t="s">
        <v>6676</v>
      </c>
      <c r="D656" s="35" t="s">
        <v>6677</v>
      </c>
      <c r="E656" s="38" t="s">
        <v>6678</v>
      </c>
      <c r="F656" s="327"/>
      <c r="G656" s="35" t="s">
        <v>519</v>
      </c>
      <c r="H656" s="35" t="s">
        <v>33</v>
      </c>
      <c r="I656" s="35" t="s">
        <v>6683</v>
      </c>
      <c r="J656" s="35" t="s">
        <v>81</v>
      </c>
      <c r="K656" s="327"/>
      <c r="L656" s="327"/>
      <c r="M656" s="35" t="s">
        <v>83</v>
      </c>
      <c r="N656" s="328" t="s">
        <v>581</v>
      </c>
      <c r="O656" s="35" t="s">
        <v>26</v>
      </c>
    </row>
    <row r="657" spans="1:15" ht="13">
      <c r="A657" s="33">
        <v>43939.041553333329</v>
      </c>
      <c r="B657" s="35" t="s">
        <v>3800</v>
      </c>
      <c r="C657" s="35" t="s">
        <v>3801</v>
      </c>
      <c r="D657" s="35" t="s">
        <v>3803</v>
      </c>
      <c r="E657" s="38" t="s">
        <v>3804</v>
      </c>
      <c r="F657" s="328" t="s">
        <v>3810</v>
      </c>
      <c r="G657" s="35" t="s">
        <v>134</v>
      </c>
      <c r="H657" s="35" t="s">
        <v>33</v>
      </c>
      <c r="I657" s="35" t="s">
        <v>15</v>
      </c>
      <c r="J657" s="35" t="s">
        <v>48</v>
      </c>
      <c r="K657" s="328" t="s">
        <v>3811</v>
      </c>
      <c r="M657" s="35" t="s">
        <v>83</v>
      </c>
      <c r="N657" s="327"/>
      <c r="O657" s="35" t="s">
        <v>26</v>
      </c>
    </row>
    <row r="658" spans="1:15" ht="13">
      <c r="A658" s="33">
        <v>43939.073152372686</v>
      </c>
      <c r="B658" s="35" t="s">
        <v>2853</v>
      </c>
      <c r="C658" s="35" t="s">
        <v>307</v>
      </c>
      <c r="D658" s="35" t="s">
        <v>2854</v>
      </c>
      <c r="E658" s="38" t="s">
        <v>2855</v>
      </c>
      <c r="F658" s="35" t="s">
        <v>2858</v>
      </c>
      <c r="G658" s="35" t="s">
        <v>398</v>
      </c>
      <c r="H658" s="35" t="s">
        <v>33</v>
      </c>
      <c r="I658" s="35" t="s">
        <v>2860</v>
      </c>
      <c r="J658" s="35" t="s">
        <v>81</v>
      </c>
      <c r="K658" s="35" t="s">
        <v>2861</v>
      </c>
      <c r="L658" s="328" t="s">
        <v>2862</v>
      </c>
      <c r="M658" s="35" t="s">
        <v>83</v>
      </c>
      <c r="N658" s="328" t="s">
        <v>2864</v>
      </c>
      <c r="O658" s="35" t="s">
        <v>26</v>
      </c>
    </row>
    <row r="659" spans="1:15" ht="13">
      <c r="A659" s="33">
        <v>43939.25139907407</v>
      </c>
      <c r="B659" s="35" t="s">
        <v>2823</v>
      </c>
      <c r="C659" s="35" t="s">
        <v>2824</v>
      </c>
      <c r="D659" s="35" t="s">
        <v>2825</v>
      </c>
      <c r="E659" s="38" t="s">
        <v>2826</v>
      </c>
      <c r="F659" s="35" t="s">
        <v>2828</v>
      </c>
      <c r="G659" s="35" t="s">
        <v>2829</v>
      </c>
      <c r="H659" s="35" t="s">
        <v>33</v>
      </c>
      <c r="I659" s="35" t="s">
        <v>2830</v>
      </c>
      <c r="J659" s="35" t="s">
        <v>35</v>
      </c>
      <c r="K659" s="35" t="s">
        <v>2831</v>
      </c>
      <c r="L659" s="328" t="s">
        <v>2832</v>
      </c>
      <c r="M659" s="35" t="s">
        <v>83</v>
      </c>
      <c r="N659" s="328" t="s">
        <v>2215</v>
      </c>
      <c r="O659" s="35" t="s">
        <v>26</v>
      </c>
    </row>
    <row r="660" spans="1:15" ht="13">
      <c r="A660" s="33">
        <v>43939.289326828701</v>
      </c>
      <c r="B660" s="35" t="s">
        <v>874</v>
      </c>
      <c r="C660" s="35" t="s">
        <v>875</v>
      </c>
      <c r="D660" s="35" t="s">
        <v>876</v>
      </c>
      <c r="E660" s="38" t="s">
        <v>877</v>
      </c>
      <c r="F660" s="35" t="s">
        <v>879</v>
      </c>
      <c r="G660" s="35" t="s">
        <v>880</v>
      </c>
      <c r="H660" s="35" t="s">
        <v>33</v>
      </c>
      <c r="I660" s="35" t="s">
        <v>881</v>
      </c>
      <c r="J660" s="35" t="s">
        <v>48</v>
      </c>
      <c r="K660" s="327"/>
      <c r="M660" s="35" t="s">
        <v>83</v>
      </c>
      <c r="O660" s="35" t="s">
        <v>26</v>
      </c>
    </row>
    <row r="661" spans="1:15" ht="13" hidden="1">
      <c r="A661" s="33">
        <v>43939.745726307869</v>
      </c>
      <c r="B661" s="35" t="s">
        <v>5895</v>
      </c>
      <c r="C661" s="35" t="s">
        <v>5896</v>
      </c>
      <c r="D661" s="35" t="s">
        <v>632</v>
      </c>
      <c r="E661" s="38" t="s">
        <v>5897</v>
      </c>
      <c r="F661" s="35" t="s">
        <v>5900</v>
      </c>
      <c r="G661" s="35" t="s">
        <v>4929</v>
      </c>
      <c r="H661" s="35" t="s">
        <v>46</v>
      </c>
      <c r="I661" s="35" t="s">
        <v>5901</v>
      </c>
      <c r="J661" s="35" t="s">
        <v>104</v>
      </c>
      <c r="M661" s="35" t="s">
        <v>67</v>
      </c>
      <c r="O661" s="35" t="s">
        <v>26</v>
      </c>
    </row>
    <row r="662" spans="1:15" ht="13" hidden="1">
      <c r="A662" s="33">
        <v>43939.789441620371</v>
      </c>
      <c r="B662" s="35" t="s">
        <v>5902</v>
      </c>
      <c r="C662" s="35" t="s">
        <v>5903</v>
      </c>
      <c r="D662" s="35" t="s">
        <v>5904</v>
      </c>
      <c r="E662" s="38" t="s">
        <v>5905</v>
      </c>
      <c r="F662" s="35" t="s">
        <v>5906</v>
      </c>
      <c r="G662" s="35" t="s">
        <v>505</v>
      </c>
      <c r="H662" s="35" t="s">
        <v>506</v>
      </c>
      <c r="I662" s="35" t="s">
        <v>5907</v>
      </c>
      <c r="J662" s="35" t="s">
        <v>48</v>
      </c>
      <c r="M662" s="35" t="s">
        <v>83</v>
      </c>
      <c r="O662" s="35" t="s">
        <v>26</v>
      </c>
    </row>
    <row r="663" spans="1:15" ht="13" hidden="1">
      <c r="A663" s="33">
        <v>43939.884750694444</v>
      </c>
      <c r="B663" s="35" t="s">
        <v>5908</v>
      </c>
      <c r="C663" s="35" t="s">
        <v>5909</v>
      </c>
      <c r="D663" s="35" t="s">
        <v>5910</v>
      </c>
      <c r="E663" s="35" t="s">
        <v>5908</v>
      </c>
      <c r="F663" s="35" t="s">
        <v>5912</v>
      </c>
      <c r="G663" s="35" t="s">
        <v>134</v>
      </c>
      <c r="H663" s="35" t="s">
        <v>46</v>
      </c>
      <c r="I663" s="35" t="s">
        <v>5915</v>
      </c>
      <c r="J663" s="35" t="s">
        <v>48</v>
      </c>
      <c r="M663" s="35" t="s">
        <v>67</v>
      </c>
      <c r="N663" s="35" t="s">
        <v>428</v>
      </c>
      <c r="O663" s="35" t="s">
        <v>26</v>
      </c>
    </row>
    <row r="664" spans="1:15" ht="14">
      <c r="A664" s="33">
        <v>43939.974401678242</v>
      </c>
      <c r="B664" s="313" t="s">
        <v>9365</v>
      </c>
      <c r="C664" s="308" t="s">
        <v>875</v>
      </c>
      <c r="D664" s="313" t="s">
        <v>87</v>
      </c>
      <c r="E664" s="312" t="s">
        <v>9366</v>
      </c>
      <c r="F664" s="313"/>
      <c r="G664" s="313" t="s">
        <v>63</v>
      </c>
      <c r="H664" s="313" t="s">
        <v>33</v>
      </c>
      <c r="I664" s="313" t="s">
        <v>2959</v>
      </c>
      <c r="J664" s="313"/>
      <c r="K664" s="313"/>
      <c r="L664" s="313"/>
      <c r="M664" s="313"/>
      <c r="N664" s="313"/>
      <c r="O664" s="35" t="s">
        <v>26</v>
      </c>
    </row>
    <row r="665" spans="1:15" ht="13">
      <c r="A665" s="33">
        <v>43940.002245532407</v>
      </c>
      <c r="B665" s="35" t="s">
        <v>2320</v>
      </c>
      <c r="C665" s="35" t="s">
        <v>2321</v>
      </c>
      <c r="D665" s="35" t="s">
        <v>2322</v>
      </c>
      <c r="E665" s="38" t="s">
        <v>2323</v>
      </c>
      <c r="F665" s="35" t="s">
        <v>2324</v>
      </c>
      <c r="G665" s="35" t="s">
        <v>394</v>
      </c>
      <c r="H665" s="35" t="s">
        <v>33</v>
      </c>
      <c r="I665" s="35" t="s">
        <v>2325</v>
      </c>
      <c r="J665" s="35" t="s">
        <v>104</v>
      </c>
      <c r="K665" s="35" t="s">
        <v>2326</v>
      </c>
      <c r="L665" s="328" t="s">
        <v>2327</v>
      </c>
      <c r="M665" s="35" t="s">
        <v>67</v>
      </c>
      <c r="N665" s="328" t="s">
        <v>2328</v>
      </c>
      <c r="O665" s="35" t="s">
        <v>26</v>
      </c>
    </row>
    <row r="666" spans="1:15" ht="13">
      <c r="A666" s="33">
        <v>43940.230732013893</v>
      </c>
      <c r="B666" s="35" t="s">
        <v>3227</v>
      </c>
      <c r="C666" s="35" t="s">
        <v>3228</v>
      </c>
      <c r="D666" s="35" t="s">
        <v>3229</v>
      </c>
      <c r="E666" s="38" t="s">
        <v>3230</v>
      </c>
      <c r="F666" s="35" t="s">
        <v>3232</v>
      </c>
      <c r="G666" s="35" t="s">
        <v>394</v>
      </c>
      <c r="H666" s="35" t="s">
        <v>33</v>
      </c>
      <c r="I666" s="35" t="s">
        <v>3233</v>
      </c>
      <c r="J666" s="35" t="s">
        <v>35</v>
      </c>
      <c r="K666" s="328" t="s">
        <v>3234</v>
      </c>
      <c r="L666" s="328" t="s">
        <v>3235</v>
      </c>
      <c r="M666" s="35" t="s">
        <v>67</v>
      </c>
      <c r="O666" s="35" t="s">
        <v>26</v>
      </c>
    </row>
    <row r="667" spans="1:15" ht="13" hidden="1">
      <c r="A667" s="33">
        <v>43940.262941018518</v>
      </c>
      <c r="B667" s="35" t="s">
        <v>5942</v>
      </c>
      <c r="C667" s="35" t="s">
        <v>1671</v>
      </c>
      <c r="D667" s="35" t="s">
        <v>5943</v>
      </c>
      <c r="E667" s="38" t="s">
        <v>5944</v>
      </c>
      <c r="F667" s="35" t="s">
        <v>5948</v>
      </c>
      <c r="G667" s="35" t="s">
        <v>5949</v>
      </c>
      <c r="H667" s="35" t="s">
        <v>506</v>
      </c>
      <c r="I667" s="35" t="s">
        <v>5950</v>
      </c>
      <c r="J667" s="35" t="s">
        <v>35</v>
      </c>
      <c r="M667" s="35" t="s">
        <v>67</v>
      </c>
      <c r="O667" s="35" t="s">
        <v>26</v>
      </c>
    </row>
    <row r="668" spans="1:15" ht="13" hidden="1">
      <c r="A668" s="33">
        <v>43940.315456412034</v>
      </c>
      <c r="B668" s="35" t="s">
        <v>5951</v>
      </c>
      <c r="C668" s="35" t="s">
        <v>5952</v>
      </c>
      <c r="D668" s="35" t="s">
        <v>5953</v>
      </c>
      <c r="E668" s="38" t="s">
        <v>5954</v>
      </c>
      <c r="F668" s="35" t="s">
        <v>5955</v>
      </c>
      <c r="G668" s="35" t="s">
        <v>214</v>
      </c>
      <c r="H668" s="35" t="s">
        <v>126</v>
      </c>
      <c r="I668" s="35" t="s">
        <v>5956</v>
      </c>
      <c r="J668" s="35" t="s">
        <v>48</v>
      </c>
      <c r="M668" s="35" t="s">
        <v>83</v>
      </c>
      <c r="N668" s="35" t="s">
        <v>1420</v>
      </c>
      <c r="O668" s="35" t="s">
        <v>26</v>
      </c>
    </row>
    <row r="669" spans="1:15" ht="13">
      <c r="A669" s="33">
        <v>43940.403350590277</v>
      </c>
      <c r="B669" s="35" t="s">
        <v>3751</v>
      </c>
      <c r="C669" s="35" t="s">
        <v>3752</v>
      </c>
      <c r="D669" s="35" t="s">
        <v>3753</v>
      </c>
      <c r="E669" s="38" t="s">
        <v>3754</v>
      </c>
      <c r="F669" s="35" t="s">
        <v>3757</v>
      </c>
      <c r="G669" s="35" t="s">
        <v>32</v>
      </c>
      <c r="H669" s="35" t="s">
        <v>33</v>
      </c>
      <c r="I669" s="35" t="s">
        <v>3759</v>
      </c>
      <c r="J669" s="35" t="s">
        <v>48</v>
      </c>
      <c r="K669" s="328" t="s">
        <v>3760</v>
      </c>
      <c r="L669" s="328" t="s">
        <v>3761</v>
      </c>
      <c r="M669" s="35" t="s">
        <v>83</v>
      </c>
      <c r="O669" s="35" t="s">
        <v>26</v>
      </c>
    </row>
    <row r="670" spans="1:15" ht="13" hidden="1">
      <c r="A670" s="33">
        <v>43940.42910572917</v>
      </c>
      <c r="B670" s="35" t="s">
        <v>5964</v>
      </c>
      <c r="C670" s="35" t="s">
        <v>5965</v>
      </c>
      <c r="D670" s="35" t="s">
        <v>5966</v>
      </c>
      <c r="E670" s="38" t="s">
        <v>5968</v>
      </c>
      <c r="F670" s="35" t="s">
        <v>5972</v>
      </c>
      <c r="G670" s="35" t="s">
        <v>5973</v>
      </c>
      <c r="H670" s="35" t="s">
        <v>4540</v>
      </c>
      <c r="I670" s="35" t="s">
        <v>2771</v>
      </c>
      <c r="J670" s="35" t="s">
        <v>35</v>
      </c>
      <c r="M670" s="35" t="s">
        <v>67</v>
      </c>
      <c r="O670" s="35" t="s">
        <v>26</v>
      </c>
    </row>
    <row r="671" spans="1:15" ht="13" hidden="1">
      <c r="A671" s="33">
        <v>43940.840346655095</v>
      </c>
      <c r="B671" s="35" t="s">
        <v>5975</v>
      </c>
      <c r="C671" s="35" t="s">
        <v>1267</v>
      </c>
      <c r="D671" s="35" t="s">
        <v>5976</v>
      </c>
      <c r="E671" s="38" t="s">
        <v>5977</v>
      </c>
      <c r="F671" s="35" t="s">
        <v>5978</v>
      </c>
      <c r="G671" s="35" t="s">
        <v>2017</v>
      </c>
      <c r="H671" s="35" t="s">
        <v>46</v>
      </c>
      <c r="I671" s="35" t="s">
        <v>5979</v>
      </c>
      <c r="J671" s="35" t="s">
        <v>81</v>
      </c>
      <c r="K671" s="35" t="s">
        <v>5980</v>
      </c>
      <c r="L671" s="35" t="s">
        <v>5981</v>
      </c>
      <c r="M671" s="35" t="s">
        <v>83</v>
      </c>
      <c r="N671" s="35" t="s">
        <v>68</v>
      </c>
      <c r="O671" s="35" t="s">
        <v>26</v>
      </c>
    </row>
    <row r="672" spans="1:15" ht="13" hidden="1">
      <c r="A672" s="33">
        <v>43940.895271909721</v>
      </c>
      <c r="B672" s="35" t="s">
        <v>5982</v>
      </c>
      <c r="C672" s="35" t="s">
        <v>5983</v>
      </c>
      <c r="D672" s="35" t="s">
        <v>5984</v>
      </c>
      <c r="E672" s="38" t="s">
        <v>5985</v>
      </c>
      <c r="F672" s="35" t="s">
        <v>5986</v>
      </c>
      <c r="G672" s="35" t="s">
        <v>5987</v>
      </c>
      <c r="H672" s="35" t="s">
        <v>5988</v>
      </c>
      <c r="I672" s="35" t="s">
        <v>5989</v>
      </c>
      <c r="J672" s="35" t="s">
        <v>35</v>
      </c>
      <c r="K672" s="35" t="s">
        <v>5989</v>
      </c>
      <c r="L672" s="35" t="s">
        <v>5990</v>
      </c>
      <c r="M672" s="35" t="s">
        <v>83</v>
      </c>
      <c r="N672" s="35" t="s">
        <v>5991</v>
      </c>
      <c r="O672" s="35" t="s">
        <v>26</v>
      </c>
    </row>
    <row r="673" spans="1:15" ht="13">
      <c r="A673" s="33">
        <v>43940.972664317131</v>
      </c>
      <c r="B673" s="35" t="s">
        <v>8774</v>
      </c>
      <c r="C673" s="35" t="s">
        <v>8775</v>
      </c>
      <c r="D673" s="38" t="s">
        <v>7625</v>
      </c>
      <c r="E673" s="38" t="s">
        <v>8778</v>
      </c>
      <c r="F673" s="327"/>
      <c r="G673" s="35" t="s">
        <v>296</v>
      </c>
      <c r="H673" s="35" t="s">
        <v>33</v>
      </c>
      <c r="I673" s="35" t="s">
        <v>8782</v>
      </c>
      <c r="J673" s="35" t="s">
        <v>104</v>
      </c>
      <c r="K673" s="328" t="s">
        <v>8784</v>
      </c>
      <c r="L673" s="328" t="s">
        <v>8785</v>
      </c>
      <c r="M673" s="35" t="s">
        <v>67</v>
      </c>
      <c r="O673" s="35" t="s">
        <v>26</v>
      </c>
    </row>
    <row r="674" spans="1:15" ht="13" hidden="1">
      <c r="A674" s="33">
        <v>43940.990037256939</v>
      </c>
      <c r="B674" s="35" t="s">
        <v>6001</v>
      </c>
      <c r="C674" s="35" t="s">
        <v>6002</v>
      </c>
      <c r="D674" s="35" t="s">
        <v>6003</v>
      </c>
      <c r="E674" s="38" t="s">
        <v>6004</v>
      </c>
      <c r="F674" s="35" t="s">
        <v>6005</v>
      </c>
      <c r="G674" s="35" t="s">
        <v>880</v>
      </c>
      <c r="H674" s="35" t="s">
        <v>6006</v>
      </c>
      <c r="I674" s="35" t="s">
        <v>6008</v>
      </c>
      <c r="J674" s="35" t="s">
        <v>81</v>
      </c>
      <c r="M674" s="35" t="s">
        <v>83</v>
      </c>
      <c r="O674" s="35" t="s">
        <v>26</v>
      </c>
    </row>
    <row r="675" spans="1:15" ht="13" hidden="1">
      <c r="A675" s="33">
        <v>43940.993394849538</v>
      </c>
      <c r="B675" s="35" t="s">
        <v>6011</v>
      </c>
      <c r="C675" s="35" t="s">
        <v>6012</v>
      </c>
      <c r="D675" s="35" t="s">
        <v>6013</v>
      </c>
      <c r="E675" s="38" t="s">
        <v>6014</v>
      </c>
      <c r="F675" s="35" t="s">
        <v>6015</v>
      </c>
      <c r="G675" s="35" t="s">
        <v>1994</v>
      </c>
      <c r="H675" s="35" t="s">
        <v>46</v>
      </c>
      <c r="I675" s="35" t="s">
        <v>6016</v>
      </c>
      <c r="J675" s="35" t="s">
        <v>81</v>
      </c>
      <c r="K675" s="35" t="s">
        <v>6017</v>
      </c>
      <c r="M675" s="35" t="s">
        <v>83</v>
      </c>
      <c r="N675" s="35" t="s">
        <v>6018</v>
      </c>
      <c r="O675" s="35" t="s">
        <v>26</v>
      </c>
    </row>
    <row r="676" spans="1:15" ht="13" hidden="1">
      <c r="A676" s="33">
        <v>43941.042396898149</v>
      </c>
      <c r="B676" s="35" t="s">
        <v>6019</v>
      </c>
      <c r="C676" s="35" t="s">
        <v>6020</v>
      </c>
      <c r="D676" s="35" t="s">
        <v>6021</v>
      </c>
      <c r="E676" s="38" t="s">
        <v>6022</v>
      </c>
      <c r="F676" s="35" t="s">
        <v>6026</v>
      </c>
      <c r="G676" s="35" t="s">
        <v>6027</v>
      </c>
      <c r="H676" s="35" t="s">
        <v>46</v>
      </c>
      <c r="I676" s="35" t="s">
        <v>6021</v>
      </c>
      <c r="J676" s="35" t="s">
        <v>48</v>
      </c>
      <c r="M676" s="35" t="s">
        <v>67</v>
      </c>
      <c r="O676" s="35" t="s">
        <v>26</v>
      </c>
    </row>
    <row r="677" spans="1:15" ht="13">
      <c r="A677" s="33">
        <v>43941.042453414353</v>
      </c>
      <c r="B677" s="35" t="s">
        <v>2623</v>
      </c>
      <c r="C677" s="35" t="s">
        <v>2624</v>
      </c>
      <c r="D677" s="35" t="s">
        <v>2625</v>
      </c>
      <c r="E677" s="38" t="s">
        <v>2626</v>
      </c>
      <c r="F677" s="35" t="s">
        <v>2627</v>
      </c>
      <c r="G677" s="35" t="s">
        <v>102</v>
      </c>
      <c r="H677" s="35" t="s">
        <v>33</v>
      </c>
      <c r="I677" s="35" t="s">
        <v>2628</v>
      </c>
      <c r="J677" s="35" t="s">
        <v>48</v>
      </c>
      <c r="K677" s="328" t="s">
        <v>2629</v>
      </c>
      <c r="L677" s="328" t="s">
        <v>2630</v>
      </c>
      <c r="M677" s="35" t="s">
        <v>67</v>
      </c>
      <c r="O677" s="35" t="s">
        <v>26</v>
      </c>
    </row>
    <row r="678" spans="1:15" ht="13" hidden="1">
      <c r="A678" s="33">
        <v>43941.048521122684</v>
      </c>
      <c r="B678" s="35" t="s">
        <v>6035</v>
      </c>
      <c r="C678" s="35" t="s">
        <v>6036</v>
      </c>
      <c r="D678" s="35" t="s">
        <v>6037</v>
      </c>
      <c r="E678" s="38" t="s">
        <v>6038</v>
      </c>
      <c r="F678" s="35" t="s">
        <v>6040</v>
      </c>
      <c r="G678" s="35" t="s">
        <v>6041</v>
      </c>
      <c r="H678" s="35" t="s">
        <v>46</v>
      </c>
      <c r="I678" s="35" t="s">
        <v>6042</v>
      </c>
      <c r="J678" s="35" t="s">
        <v>104</v>
      </c>
      <c r="K678" s="35" t="s">
        <v>6042</v>
      </c>
      <c r="M678" s="35" t="s">
        <v>67</v>
      </c>
      <c r="O678" s="35" t="s">
        <v>26</v>
      </c>
    </row>
    <row r="679" spans="1:15" ht="13" hidden="1">
      <c r="A679" s="33">
        <v>43941.078044849535</v>
      </c>
      <c r="B679" s="35" t="s">
        <v>6043</v>
      </c>
      <c r="C679" s="35" t="s">
        <v>6044</v>
      </c>
      <c r="D679" s="35" t="s">
        <v>6045</v>
      </c>
      <c r="E679" s="38" t="s">
        <v>6046</v>
      </c>
      <c r="F679" s="35" t="s">
        <v>6050</v>
      </c>
      <c r="G679" s="35" t="s">
        <v>220</v>
      </c>
      <c r="H679" s="35" t="s">
        <v>5442</v>
      </c>
      <c r="I679" s="35" t="s">
        <v>6052</v>
      </c>
      <c r="J679" s="35" t="s">
        <v>81</v>
      </c>
      <c r="K679" s="35" t="s">
        <v>6052</v>
      </c>
      <c r="M679" s="35" t="s">
        <v>83</v>
      </c>
      <c r="O679" s="35" t="s">
        <v>26</v>
      </c>
    </row>
    <row r="680" spans="1:15" ht="13">
      <c r="A680" s="33">
        <v>43941.082239745374</v>
      </c>
      <c r="B680" s="35" t="s">
        <v>3236</v>
      </c>
      <c r="C680" s="35" t="s">
        <v>3237</v>
      </c>
      <c r="D680" s="35" t="s">
        <v>3238</v>
      </c>
      <c r="E680" s="38" t="s">
        <v>3239</v>
      </c>
      <c r="F680" s="35" t="s">
        <v>3244</v>
      </c>
      <c r="G680" s="35" t="s">
        <v>3245</v>
      </c>
      <c r="H680" s="35" t="s">
        <v>33</v>
      </c>
      <c r="I680" s="35" t="s">
        <v>3246</v>
      </c>
      <c r="J680" s="35" t="s">
        <v>35</v>
      </c>
      <c r="K680" s="327"/>
      <c r="L680" s="327"/>
      <c r="M680" s="35" t="s">
        <v>83</v>
      </c>
      <c r="N680" s="327"/>
      <c r="O680" s="35" t="s">
        <v>26</v>
      </c>
    </row>
    <row r="681" spans="1:15" ht="13" hidden="1">
      <c r="A681" s="33">
        <v>43941.099299803245</v>
      </c>
      <c r="B681" s="35" t="s">
        <v>6059</v>
      </c>
      <c r="C681" s="35" t="s">
        <v>6060</v>
      </c>
      <c r="D681" s="35" t="s">
        <v>6061</v>
      </c>
      <c r="E681" s="38" t="s">
        <v>6062</v>
      </c>
      <c r="F681" s="35" t="s">
        <v>6064</v>
      </c>
      <c r="G681" s="35" t="s">
        <v>519</v>
      </c>
      <c r="H681" s="35" t="s">
        <v>46</v>
      </c>
      <c r="I681" s="35" t="s">
        <v>6065</v>
      </c>
      <c r="J681" s="35" t="s">
        <v>35</v>
      </c>
      <c r="M681" s="35" t="s">
        <v>67</v>
      </c>
      <c r="N681" s="35" t="s">
        <v>6066</v>
      </c>
      <c r="O681" s="35" t="s">
        <v>26</v>
      </c>
    </row>
    <row r="682" spans="1:15" ht="13" hidden="1">
      <c r="A682" s="33">
        <v>43941.13948863426</v>
      </c>
      <c r="B682" s="35" t="s">
        <v>6068</v>
      </c>
      <c r="C682" s="35" t="s">
        <v>6069</v>
      </c>
      <c r="D682" s="35" t="s">
        <v>4133</v>
      </c>
      <c r="E682" s="38" t="s">
        <v>6070</v>
      </c>
      <c r="F682" s="35" t="s">
        <v>6071</v>
      </c>
      <c r="G682" s="35" t="s">
        <v>6072</v>
      </c>
      <c r="H682" s="35" t="s">
        <v>506</v>
      </c>
      <c r="I682" s="35" t="s">
        <v>6073</v>
      </c>
      <c r="J682" s="35" t="s">
        <v>81</v>
      </c>
      <c r="K682" s="35" t="s">
        <v>6074</v>
      </c>
      <c r="M682" s="35" t="s">
        <v>83</v>
      </c>
      <c r="O682" s="35" t="s">
        <v>26</v>
      </c>
    </row>
    <row r="683" spans="1:15" ht="13">
      <c r="A683" s="33">
        <v>43941.158644513889</v>
      </c>
      <c r="B683" s="35" t="s">
        <v>2686</v>
      </c>
      <c r="C683" s="35" t="s">
        <v>2687</v>
      </c>
      <c r="D683" s="35" t="s">
        <v>1759</v>
      </c>
      <c r="E683" s="38" t="s">
        <v>2688</v>
      </c>
      <c r="F683" s="328" t="s">
        <v>2693</v>
      </c>
      <c r="G683" s="35" t="s">
        <v>161</v>
      </c>
      <c r="H683" s="35" t="s">
        <v>33</v>
      </c>
      <c r="I683" s="35" t="s">
        <v>2694</v>
      </c>
      <c r="J683" s="35" t="s">
        <v>35</v>
      </c>
      <c r="K683" s="328" t="s">
        <v>2695</v>
      </c>
      <c r="L683" s="328" t="s">
        <v>2696</v>
      </c>
      <c r="M683" s="35" t="s">
        <v>67</v>
      </c>
      <c r="N683" s="327"/>
      <c r="O683" s="35" t="s">
        <v>26</v>
      </c>
    </row>
    <row r="684" spans="1:15" ht="13">
      <c r="A684" s="33">
        <v>43941.187932442132</v>
      </c>
      <c r="B684" s="35" t="s">
        <v>8949</v>
      </c>
      <c r="C684" s="35" t="s">
        <v>8950</v>
      </c>
      <c r="D684" s="35" t="s">
        <v>8951</v>
      </c>
      <c r="E684" s="38" t="s">
        <v>8952</v>
      </c>
      <c r="F684" s="327"/>
      <c r="G684" s="35" t="s">
        <v>519</v>
      </c>
      <c r="H684" s="35" t="s">
        <v>33</v>
      </c>
      <c r="I684" s="35" t="s">
        <v>8954</v>
      </c>
      <c r="J684" s="35" t="s">
        <v>48</v>
      </c>
      <c r="M684" s="35" t="s">
        <v>83</v>
      </c>
      <c r="O684" s="35" t="s">
        <v>26</v>
      </c>
    </row>
    <row r="685" spans="1:15" ht="13">
      <c r="A685" s="33">
        <v>43941.201752974535</v>
      </c>
      <c r="B685" s="35" t="s">
        <v>70</v>
      </c>
      <c r="C685" s="35" t="s">
        <v>71</v>
      </c>
      <c r="D685" s="35" t="s">
        <v>72</v>
      </c>
      <c r="E685" s="38" t="s">
        <v>73</v>
      </c>
      <c r="F685" s="35" t="s">
        <v>76</v>
      </c>
      <c r="G685" s="35" t="s">
        <v>77</v>
      </c>
      <c r="H685" s="35" t="s">
        <v>33</v>
      </c>
      <c r="I685" s="35" t="s">
        <v>80</v>
      </c>
      <c r="J685" s="35" t="s">
        <v>81</v>
      </c>
      <c r="K685" s="35" t="s">
        <v>82</v>
      </c>
      <c r="L685" s="327"/>
      <c r="M685" s="35" t="s">
        <v>83</v>
      </c>
      <c r="N685" s="327"/>
      <c r="O685" s="35" t="s">
        <v>26</v>
      </c>
    </row>
    <row r="686" spans="1:15" ht="13">
      <c r="A686" s="33">
        <v>43941.203993680552</v>
      </c>
      <c r="B686" s="35" t="s">
        <v>5487</v>
      </c>
      <c r="C686" s="35" t="s">
        <v>71</v>
      </c>
      <c r="D686" s="35" t="s">
        <v>5488</v>
      </c>
      <c r="E686" s="38" t="s">
        <v>5489</v>
      </c>
      <c r="F686" s="35" t="s">
        <v>5490</v>
      </c>
      <c r="G686" s="35" t="s">
        <v>363</v>
      </c>
      <c r="H686" s="35" t="s">
        <v>33</v>
      </c>
      <c r="I686" s="35" t="s">
        <v>5491</v>
      </c>
      <c r="J686" s="35" t="s">
        <v>104</v>
      </c>
      <c r="K686" s="328" t="s">
        <v>5492</v>
      </c>
      <c r="L686" s="328" t="s">
        <v>5493</v>
      </c>
      <c r="M686" s="35" t="s">
        <v>83</v>
      </c>
      <c r="N686" s="328" t="s">
        <v>5494</v>
      </c>
      <c r="O686" s="35" t="s">
        <v>26</v>
      </c>
    </row>
    <row r="687" spans="1:15" ht="13" hidden="1">
      <c r="A687" s="33">
        <v>43941.241911944446</v>
      </c>
      <c r="B687" s="35" t="s">
        <v>6113</v>
      </c>
      <c r="C687" s="35" t="s">
        <v>6114</v>
      </c>
      <c r="D687" s="35" t="s">
        <v>6115</v>
      </c>
      <c r="E687" s="38" t="s">
        <v>6116</v>
      </c>
      <c r="F687" s="35" t="s">
        <v>6117</v>
      </c>
      <c r="G687" s="35" t="s">
        <v>6118</v>
      </c>
      <c r="H687" s="35" t="s">
        <v>46</v>
      </c>
      <c r="I687" s="35" t="s">
        <v>6119</v>
      </c>
      <c r="J687" s="35" t="s">
        <v>48</v>
      </c>
      <c r="K687" s="35" t="s">
        <v>6120</v>
      </c>
      <c r="L687" s="35" t="s">
        <v>6121</v>
      </c>
      <c r="M687" s="35" t="s">
        <v>83</v>
      </c>
      <c r="O687" s="35" t="s">
        <v>26</v>
      </c>
    </row>
    <row r="688" spans="1:15" ht="13">
      <c r="A688" s="33">
        <v>43941.256784513884</v>
      </c>
      <c r="B688" s="35" t="s">
        <v>8870</v>
      </c>
      <c r="C688" s="35" t="s">
        <v>71</v>
      </c>
      <c r="D688" s="35" t="s">
        <v>8872</v>
      </c>
      <c r="E688" s="38" t="s">
        <v>8873</v>
      </c>
      <c r="F688" s="327"/>
      <c r="G688" s="35" t="s">
        <v>161</v>
      </c>
      <c r="H688" s="35" t="s">
        <v>33</v>
      </c>
      <c r="I688" s="35" t="s">
        <v>8877</v>
      </c>
      <c r="J688" s="35" t="s">
        <v>35</v>
      </c>
      <c r="K688" s="327"/>
      <c r="M688" s="35" t="s">
        <v>83</v>
      </c>
      <c r="N688" s="328" t="s">
        <v>8878</v>
      </c>
      <c r="O688" s="35" t="s">
        <v>26</v>
      </c>
    </row>
    <row r="689" spans="1:15" ht="13">
      <c r="A689" s="33">
        <v>43941.389361215275</v>
      </c>
      <c r="B689" s="35" t="s">
        <v>6332</v>
      </c>
      <c r="C689" s="35" t="s">
        <v>6333</v>
      </c>
      <c r="D689" s="328" t="s">
        <v>6334</v>
      </c>
      <c r="E689" s="38" t="s">
        <v>6335</v>
      </c>
      <c r="F689" s="35" t="s">
        <v>6336</v>
      </c>
      <c r="G689" s="35" t="s">
        <v>1471</v>
      </c>
      <c r="H689" s="35" t="s">
        <v>33</v>
      </c>
      <c r="I689" s="35" t="s">
        <v>6337</v>
      </c>
      <c r="J689" s="35" t="s">
        <v>35</v>
      </c>
      <c r="K689" s="327"/>
      <c r="M689" s="35" t="s">
        <v>67</v>
      </c>
      <c r="N689" s="327"/>
      <c r="O689" s="35" t="s">
        <v>26</v>
      </c>
    </row>
    <row r="690" spans="1:15" ht="13" hidden="1">
      <c r="A690" s="33">
        <v>43941.688246921301</v>
      </c>
      <c r="B690" s="35" t="s">
        <v>6113</v>
      </c>
      <c r="C690" s="35" t="s">
        <v>6114</v>
      </c>
      <c r="D690" s="35" t="s">
        <v>6142</v>
      </c>
      <c r="E690" s="38" t="s">
        <v>6116</v>
      </c>
      <c r="F690" s="35" t="s">
        <v>6117</v>
      </c>
      <c r="G690" s="35" t="s">
        <v>6146</v>
      </c>
      <c r="H690" s="35" t="s">
        <v>46</v>
      </c>
      <c r="I690" s="35" t="s">
        <v>6147</v>
      </c>
      <c r="J690" s="35" t="s">
        <v>48</v>
      </c>
      <c r="K690" s="35" t="s">
        <v>6147</v>
      </c>
      <c r="L690" s="35" t="s">
        <v>6148</v>
      </c>
      <c r="M690" s="35" t="s">
        <v>83</v>
      </c>
      <c r="O690" s="35" t="s">
        <v>26</v>
      </c>
    </row>
    <row r="691" spans="1:15" ht="13">
      <c r="A691" s="33">
        <v>43941.86938128472</v>
      </c>
      <c r="B691" s="35" t="s">
        <v>3638</v>
      </c>
      <c r="C691" s="35" t="s">
        <v>3639</v>
      </c>
      <c r="D691" s="328" t="s">
        <v>3640</v>
      </c>
      <c r="E691" s="328" t="s">
        <v>3638</v>
      </c>
      <c r="F691" s="328" t="s">
        <v>3641</v>
      </c>
      <c r="G691" s="35" t="s">
        <v>394</v>
      </c>
      <c r="H691" s="35" t="s">
        <v>33</v>
      </c>
      <c r="I691" s="35" t="s">
        <v>3642</v>
      </c>
      <c r="J691" s="35" t="s">
        <v>104</v>
      </c>
      <c r="K691" s="328" t="s">
        <v>3643</v>
      </c>
      <c r="L691" s="327"/>
      <c r="M691" s="35" t="s">
        <v>83</v>
      </c>
      <c r="N691" s="327"/>
      <c r="O691" s="35" t="s">
        <v>26</v>
      </c>
    </row>
    <row r="692" spans="1:15" ht="13">
      <c r="A692" s="33">
        <v>43941.896786423611</v>
      </c>
      <c r="B692" s="35" t="s">
        <v>8786</v>
      </c>
      <c r="C692" s="35" t="s">
        <v>8787</v>
      </c>
      <c r="D692" s="35" t="s">
        <v>6846</v>
      </c>
      <c r="E692" s="38" t="s">
        <v>8788</v>
      </c>
      <c r="F692" s="327"/>
      <c r="G692" s="35" t="s">
        <v>322</v>
      </c>
      <c r="H692" s="35" t="s">
        <v>33</v>
      </c>
      <c r="I692" s="35" t="s">
        <v>8789</v>
      </c>
      <c r="J692" s="35" t="s">
        <v>81</v>
      </c>
      <c r="K692" s="35" t="s">
        <v>8791</v>
      </c>
      <c r="L692" s="328" t="s">
        <v>8792</v>
      </c>
      <c r="M692" s="35" t="s">
        <v>83</v>
      </c>
      <c r="O692" s="35" t="s">
        <v>26</v>
      </c>
    </row>
    <row r="693" spans="1:15" ht="13">
      <c r="A693" s="33">
        <v>43941.8976774537</v>
      </c>
      <c r="B693" s="35" t="s">
        <v>8737</v>
      </c>
      <c r="C693" s="35" t="s">
        <v>8739</v>
      </c>
      <c r="D693" s="35" t="s">
        <v>8740</v>
      </c>
      <c r="E693" s="38" t="s">
        <v>8741</v>
      </c>
      <c r="F693" s="327"/>
      <c r="G693" s="35" t="s">
        <v>3626</v>
      </c>
      <c r="H693" s="35" t="s">
        <v>33</v>
      </c>
      <c r="I693" s="35" t="s">
        <v>425</v>
      </c>
      <c r="J693" s="35" t="s">
        <v>35</v>
      </c>
      <c r="K693" s="327"/>
      <c r="L693" s="328" t="s">
        <v>8742</v>
      </c>
      <c r="M693" s="35" t="s">
        <v>83</v>
      </c>
      <c r="O693" s="35" t="s">
        <v>26</v>
      </c>
    </row>
    <row r="694" spans="1:15" ht="13">
      <c r="A694" s="33">
        <v>43941.912200381943</v>
      </c>
      <c r="B694" s="35" t="s">
        <v>6742</v>
      </c>
      <c r="C694" s="35" t="s">
        <v>6743</v>
      </c>
      <c r="D694" s="35" t="s">
        <v>6744</v>
      </c>
      <c r="E694" s="38" t="s">
        <v>6745</v>
      </c>
      <c r="F694" s="327"/>
      <c r="G694" s="35" t="s">
        <v>296</v>
      </c>
      <c r="H694" s="35" t="s">
        <v>33</v>
      </c>
      <c r="I694" s="35" t="s">
        <v>1420</v>
      </c>
      <c r="J694" s="35" t="s">
        <v>48</v>
      </c>
      <c r="K694" s="328" t="s">
        <v>1420</v>
      </c>
      <c r="L694" s="327"/>
      <c r="M694" s="35" t="s">
        <v>83</v>
      </c>
      <c r="N694" s="328" t="s">
        <v>67</v>
      </c>
      <c r="O694" s="35" t="s">
        <v>26</v>
      </c>
    </row>
    <row r="695" spans="1:15" ht="13">
      <c r="A695" s="33">
        <v>43941.926002488428</v>
      </c>
      <c r="B695" s="35" t="s">
        <v>3879</v>
      </c>
      <c r="C695" s="35" t="s">
        <v>3880</v>
      </c>
      <c r="D695" s="35" t="s">
        <v>3881</v>
      </c>
      <c r="E695" s="328" t="s">
        <v>3879</v>
      </c>
      <c r="F695" s="35" t="s">
        <v>3882</v>
      </c>
      <c r="G695" s="35" t="s">
        <v>702</v>
      </c>
      <c r="H695" s="35" t="s">
        <v>33</v>
      </c>
      <c r="I695" s="35" t="s">
        <v>3883</v>
      </c>
      <c r="J695" s="35" t="s">
        <v>48</v>
      </c>
      <c r="K695" s="327"/>
      <c r="L695" s="327"/>
      <c r="M695" s="35" t="s">
        <v>83</v>
      </c>
      <c r="O695" s="35" t="s">
        <v>26</v>
      </c>
    </row>
    <row r="696" spans="1:15" ht="13" hidden="1">
      <c r="A696" s="33">
        <v>43941.968991307869</v>
      </c>
      <c r="B696" s="35" t="s">
        <v>6184</v>
      </c>
      <c r="C696" s="35" t="s">
        <v>6185</v>
      </c>
      <c r="D696" s="35" t="s">
        <v>6186</v>
      </c>
      <c r="E696" s="38" t="s">
        <v>6187</v>
      </c>
      <c r="F696" s="35" t="s">
        <v>6191</v>
      </c>
      <c r="G696" s="35" t="s">
        <v>32</v>
      </c>
      <c r="H696" s="35" t="s">
        <v>506</v>
      </c>
      <c r="I696" s="35" t="s">
        <v>6192</v>
      </c>
      <c r="J696" s="35" t="s">
        <v>48</v>
      </c>
      <c r="M696" s="35" t="s">
        <v>83</v>
      </c>
      <c r="N696" s="35" t="s">
        <v>68</v>
      </c>
      <c r="O696" s="35" t="s">
        <v>26</v>
      </c>
    </row>
    <row r="697" spans="1:15" ht="13">
      <c r="A697" s="33">
        <v>43941.989570925929</v>
      </c>
      <c r="B697" s="35" t="s">
        <v>7917</v>
      </c>
      <c r="C697" s="35" t="s">
        <v>7918</v>
      </c>
      <c r="D697" s="328" t="s">
        <v>7919</v>
      </c>
      <c r="E697" s="38" t="s">
        <v>7920</v>
      </c>
      <c r="F697" s="327"/>
      <c r="G697" s="35" t="s">
        <v>996</v>
      </c>
      <c r="H697" s="35" t="s">
        <v>33</v>
      </c>
      <c r="I697" s="328" t="s">
        <v>15</v>
      </c>
      <c r="J697" s="328" t="s">
        <v>48</v>
      </c>
      <c r="K697" s="327"/>
      <c r="M697" s="328" t="s">
        <v>67</v>
      </c>
      <c r="N697" s="328" t="s">
        <v>1420</v>
      </c>
      <c r="O697" s="35" t="s">
        <v>26</v>
      </c>
    </row>
    <row r="698" spans="1:15" ht="13" hidden="1">
      <c r="A698" s="33">
        <v>43942.004165231483</v>
      </c>
      <c r="B698" s="35" t="s">
        <v>6200</v>
      </c>
      <c r="C698" s="35" t="s">
        <v>6201</v>
      </c>
      <c r="D698" s="35" t="s">
        <v>6202</v>
      </c>
      <c r="E698" s="38" t="s">
        <v>6203</v>
      </c>
      <c r="F698" s="35" t="s">
        <v>6204</v>
      </c>
      <c r="G698" s="35" t="s">
        <v>32</v>
      </c>
      <c r="H698" s="35" t="s">
        <v>506</v>
      </c>
      <c r="I698" s="35" t="s">
        <v>6205</v>
      </c>
      <c r="J698" s="35" t="s">
        <v>48</v>
      </c>
      <c r="M698" s="35" t="s">
        <v>83</v>
      </c>
      <c r="N698" s="35" t="s">
        <v>6206</v>
      </c>
      <c r="O698" s="35" t="s">
        <v>26</v>
      </c>
    </row>
    <row r="699" spans="1:15" ht="13" hidden="1">
      <c r="A699" s="33">
        <v>43942.036259502318</v>
      </c>
      <c r="B699" s="35" t="s">
        <v>6207</v>
      </c>
      <c r="C699" s="35" t="s">
        <v>307</v>
      </c>
      <c r="D699" s="35" t="s">
        <v>6208</v>
      </c>
      <c r="E699" s="38" t="s">
        <v>6209</v>
      </c>
      <c r="F699" s="35" t="s">
        <v>6210</v>
      </c>
      <c r="G699" s="35" t="s">
        <v>1881</v>
      </c>
      <c r="H699" s="35" t="s">
        <v>46</v>
      </c>
      <c r="I699" s="35" t="s">
        <v>3627</v>
      </c>
      <c r="J699" s="35" t="s">
        <v>81</v>
      </c>
      <c r="K699" s="35" t="s">
        <v>6212</v>
      </c>
      <c r="L699" s="35" t="s">
        <v>6213</v>
      </c>
      <c r="M699" s="35" t="s">
        <v>83</v>
      </c>
      <c r="N699" s="35" t="s">
        <v>6214</v>
      </c>
      <c r="O699" s="35" t="s">
        <v>26</v>
      </c>
    </row>
    <row r="700" spans="1:15" ht="13">
      <c r="A700" s="33">
        <v>43942.040523414355</v>
      </c>
      <c r="B700" s="35" t="s">
        <v>6796</v>
      </c>
      <c r="C700" s="35" t="s">
        <v>6797</v>
      </c>
      <c r="D700" s="328" t="s">
        <v>2496</v>
      </c>
      <c r="E700" s="38" t="s">
        <v>6798</v>
      </c>
      <c r="F700" s="327"/>
      <c r="G700" s="35" t="s">
        <v>709</v>
      </c>
      <c r="H700" s="35" t="s">
        <v>33</v>
      </c>
      <c r="I700" s="35" t="s">
        <v>6802</v>
      </c>
      <c r="J700" s="35" t="s">
        <v>48</v>
      </c>
      <c r="K700" s="327"/>
      <c r="L700" s="328" t="s">
        <v>6803</v>
      </c>
      <c r="M700" s="35" t="s">
        <v>83</v>
      </c>
      <c r="N700" s="327"/>
      <c r="O700" s="35" t="s">
        <v>26</v>
      </c>
    </row>
    <row r="701" spans="1:15" ht="13">
      <c r="A701" s="33">
        <v>43942.053327488422</v>
      </c>
      <c r="B701" s="35" t="s">
        <v>3004</v>
      </c>
      <c r="C701" s="35" t="s">
        <v>3005</v>
      </c>
      <c r="D701" s="35" t="s">
        <v>3006</v>
      </c>
      <c r="E701" s="38" t="s">
        <v>3007</v>
      </c>
      <c r="F701" s="35" t="s">
        <v>3012</v>
      </c>
      <c r="G701" s="35" t="s">
        <v>709</v>
      </c>
      <c r="H701" s="35" t="s">
        <v>33</v>
      </c>
      <c r="I701" s="35" t="s">
        <v>3013</v>
      </c>
      <c r="J701" s="35" t="s">
        <v>35</v>
      </c>
      <c r="K701" s="328" t="s">
        <v>3014</v>
      </c>
      <c r="L701" s="328" t="s">
        <v>3015</v>
      </c>
      <c r="M701" s="35" t="s">
        <v>83</v>
      </c>
      <c r="O701" s="35" t="s">
        <v>26</v>
      </c>
    </row>
    <row r="702" spans="1:15" ht="13" hidden="1">
      <c r="A702" s="33">
        <v>43942.084825462967</v>
      </c>
      <c r="B702" s="35" t="s">
        <v>6227</v>
      </c>
      <c r="C702" s="35" t="s">
        <v>6228</v>
      </c>
      <c r="D702" s="35" t="s">
        <v>6229</v>
      </c>
      <c r="E702" s="35" t="s">
        <v>6230</v>
      </c>
      <c r="F702" s="35" t="s">
        <v>6231</v>
      </c>
      <c r="G702" s="35" t="s">
        <v>2940</v>
      </c>
      <c r="H702" s="35" t="s">
        <v>46</v>
      </c>
      <c r="I702" s="35" t="s">
        <v>6232</v>
      </c>
      <c r="J702" s="35" t="s">
        <v>48</v>
      </c>
      <c r="M702" s="35" t="s">
        <v>83</v>
      </c>
      <c r="O702" s="35" t="s">
        <v>26</v>
      </c>
    </row>
    <row r="703" spans="1:15" ht="14">
      <c r="A703" s="33">
        <v>43942.090360729169</v>
      </c>
      <c r="B703" s="313" t="s">
        <v>9281</v>
      </c>
      <c r="C703" s="308" t="s">
        <v>9282</v>
      </c>
      <c r="D703" s="313" t="s">
        <v>87</v>
      </c>
      <c r="E703" s="312" t="s">
        <v>9283</v>
      </c>
      <c r="F703" s="313"/>
      <c r="G703" s="313" t="s">
        <v>709</v>
      </c>
      <c r="H703" s="313" t="s">
        <v>33</v>
      </c>
      <c r="I703" s="313" t="s">
        <v>2959</v>
      </c>
      <c r="J703" s="313"/>
      <c r="K703" s="313"/>
      <c r="L703" s="313"/>
      <c r="M703" s="313"/>
      <c r="N703" s="313"/>
      <c r="O703" s="35" t="s">
        <v>26</v>
      </c>
    </row>
    <row r="704" spans="1:15" ht="13">
      <c r="A704" s="33">
        <v>43942.134584629632</v>
      </c>
      <c r="B704" s="35" t="s">
        <v>1504</v>
      </c>
      <c r="C704" s="35" t="s">
        <v>502</v>
      </c>
      <c r="D704" s="35" t="s">
        <v>1505</v>
      </c>
      <c r="E704" s="38" t="s">
        <v>1507</v>
      </c>
      <c r="F704" s="35" t="s">
        <v>1510</v>
      </c>
      <c r="G704" s="35" t="s">
        <v>709</v>
      </c>
      <c r="H704" s="35" t="s">
        <v>33</v>
      </c>
      <c r="I704" s="35" t="s">
        <v>1511</v>
      </c>
      <c r="J704" s="35" t="s">
        <v>48</v>
      </c>
      <c r="K704" s="327"/>
      <c r="L704" s="327"/>
      <c r="M704" s="35" t="s">
        <v>67</v>
      </c>
      <c r="N704" s="327"/>
      <c r="O704" s="35" t="s">
        <v>26</v>
      </c>
    </row>
    <row r="705" spans="1:15" ht="13">
      <c r="A705" s="33">
        <v>43942.136887534725</v>
      </c>
      <c r="B705" s="35" t="s">
        <v>2790</v>
      </c>
      <c r="C705" s="35" t="s">
        <v>502</v>
      </c>
      <c r="D705" s="35" t="s">
        <v>2380</v>
      </c>
      <c r="E705" s="38" t="s">
        <v>2791</v>
      </c>
      <c r="F705" s="35" t="s">
        <v>2792</v>
      </c>
      <c r="G705" s="35" t="s">
        <v>709</v>
      </c>
      <c r="H705" s="35" t="s">
        <v>33</v>
      </c>
      <c r="I705" s="35" t="s">
        <v>2793</v>
      </c>
      <c r="J705" s="35" t="s">
        <v>81</v>
      </c>
      <c r="K705" s="328" t="s">
        <v>2794</v>
      </c>
      <c r="M705" s="35" t="s">
        <v>83</v>
      </c>
      <c r="O705" s="35" t="s">
        <v>26</v>
      </c>
    </row>
    <row r="706" spans="1:15" ht="13" hidden="1">
      <c r="A706" s="33">
        <v>43942.163763240736</v>
      </c>
      <c r="B706" s="35" t="s">
        <v>6255</v>
      </c>
      <c r="C706" s="35" t="s">
        <v>6256</v>
      </c>
      <c r="D706" s="35" t="s">
        <v>6257</v>
      </c>
      <c r="E706" s="38" t="s">
        <v>6258</v>
      </c>
      <c r="F706" s="35" t="s">
        <v>6262</v>
      </c>
      <c r="G706" s="35" t="s">
        <v>296</v>
      </c>
      <c r="H706" s="35" t="s">
        <v>46</v>
      </c>
      <c r="I706" s="35" t="s">
        <v>6263</v>
      </c>
      <c r="J706" s="35" t="s">
        <v>48</v>
      </c>
      <c r="M706" s="35" t="s">
        <v>67</v>
      </c>
      <c r="N706" s="35" t="s">
        <v>6264</v>
      </c>
      <c r="O706" s="35" t="s">
        <v>26</v>
      </c>
    </row>
    <row r="707" spans="1:15" ht="13">
      <c r="A707" s="33">
        <v>43942.266491192131</v>
      </c>
      <c r="B707" s="35" t="s">
        <v>4610</v>
      </c>
      <c r="C707" s="35" t="s">
        <v>502</v>
      </c>
      <c r="D707" s="35" t="s">
        <v>4611</v>
      </c>
      <c r="E707" s="38" t="s">
        <v>4612</v>
      </c>
      <c r="F707" s="328" t="s">
        <v>4613</v>
      </c>
      <c r="G707" s="35" t="s">
        <v>709</v>
      </c>
      <c r="H707" s="35" t="s">
        <v>33</v>
      </c>
      <c r="I707" s="35" t="s">
        <v>4614</v>
      </c>
      <c r="J707" s="35" t="s">
        <v>48</v>
      </c>
      <c r="K707" s="327"/>
      <c r="L707" s="328" t="s">
        <v>4615</v>
      </c>
      <c r="M707" s="35" t="s">
        <v>83</v>
      </c>
      <c r="N707" s="327"/>
      <c r="O707" s="35" t="s">
        <v>26</v>
      </c>
    </row>
    <row r="708" spans="1:15" ht="13" hidden="1">
      <c r="A708" s="33">
        <v>43942.281686261573</v>
      </c>
      <c r="B708" s="35" t="s">
        <v>6276</v>
      </c>
      <c r="C708" s="35" t="s">
        <v>467</v>
      </c>
      <c r="D708" s="35" t="s">
        <v>6277</v>
      </c>
      <c r="E708" s="38" t="s">
        <v>6278</v>
      </c>
      <c r="F708" s="35" t="s">
        <v>6279</v>
      </c>
      <c r="G708" s="35" t="s">
        <v>6280</v>
      </c>
      <c r="H708" s="35" t="s">
        <v>506</v>
      </c>
      <c r="I708" s="35" t="s">
        <v>6281</v>
      </c>
      <c r="J708" s="35" t="s">
        <v>48</v>
      </c>
      <c r="K708" s="35" t="s">
        <v>6282</v>
      </c>
      <c r="L708" s="35" t="s">
        <v>6283</v>
      </c>
      <c r="M708" s="35" t="s">
        <v>83</v>
      </c>
      <c r="N708" s="35" t="s">
        <v>724</v>
      </c>
      <c r="O708" s="35" t="s">
        <v>26</v>
      </c>
    </row>
    <row r="709" spans="1:15" ht="13">
      <c r="A709" s="33">
        <v>43942.375016087964</v>
      </c>
      <c r="B709" s="35" t="s">
        <v>6244</v>
      </c>
      <c r="C709" s="35" t="s">
        <v>502</v>
      </c>
      <c r="D709" s="35" t="s">
        <v>6246</v>
      </c>
      <c r="E709" s="38" t="s">
        <v>6247</v>
      </c>
      <c r="F709" s="328" t="s">
        <v>6253</v>
      </c>
      <c r="G709" s="35" t="s">
        <v>709</v>
      </c>
      <c r="H709" s="35" t="s">
        <v>33</v>
      </c>
      <c r="I709" s="35" t="s">
        <v>6254</v>
      </c>
      <c r="J709" s="35" t="s">
        <v>48</v>
      </c>
      <c r="L709" s="327"/>
      <c r="M709" s="35" t="s">
        <v>67</v>
      </c>
      <c r="O709" s="35" t="s">
        <v>26</v>
      </c>
    </row>
    <row r="710" spans="1:15" ht="13">
      <c r="A710" s="33">
        <v>43942.435965682875</v>
      </c>
      <c r="B710" s="35" t="s">
        <v>9467</v>
      </c>
      <c r="C710" s="35" t="s">
        <v>502</v>
      </c>
      <c r="D710" s="35" t="s">
        <v>2380</v>
      </c>
      <c r="E710" s="304" t="s">
        <v>9468</v>
      </c>
      <c r="F710" s="35" t="s">
        <v>9469</v>
      </c>
      <c r="G710" s="35" t="s">
        <v>9451</v>
      </c>
      <c r="H710" s="35" t="s">
        <v>33</v>
      </c>
      <c r="I710" s="319" t="s">
        <v>9423</v>
      </c>
      <c r="J710" s="327"/>
      <c r="K710" s="327"/>
      <c r="L710" s="327"/>
      <c r="M710" s="327"/>
      <c r="O710" s="35" t="s">
        <v>26</v>
      </c>
    </row>
    <row r="711" spans="1:15" ht="13">
      <c r="A711" s="33">
        <v>43942.824157488431</v>
      </c>
      <c r="B711" s="35" t="s">
        <v>5688</v>
      </c>
      <c r="C711" s="35" t="s">
        <v>5689</v>
      </c>
      <c r="D711" s="35" t="s">
        <v>5063</v>
      </c>
      <c r="E711" s="38" t="s">
        <v>5690</v>
      </c>
      <c r="F711" s="35" t="s">
        <v>5695</v>
      </c>
      <c r="G711" s="35" t="s">
        <v>709</v>
      </c>
      <c r="H711" s="35" t="s">
        <v>33</v>
      </c>
      <c r="I711" s="35" t="s">
        <v>5696</v>
      </c>
      <c r="J711" s="35" t="s">
        <v>48</v>
      </c>
      <c r="K711" s="35" t="s">
        <v>5696</v>
      </c>
      <c r="L711" s="328" t="s">
        <v>5697</v>
      </c>
      <c r="M711" s="35" t="s">
        <v>83</v>
      </c>
      <c r="O711" s="35" t="s">
        <v>26</v>
      </c>
    </row>
    <row r="712" spans="1:15" ht="13" hidden="1">
      <c r="A712" s="33">
        <v>43942.840619965282</v>
      </c>
      <c r="B712" s="35" t="s">
        <v>6307</v>
      </c>
      <c r="C712" s="35" t="s">
        <v>6308</v>
      </c>
      <c r="D712" s="35" t="s">
        <v>6309</v>
      </c>
      <c r="E712" s="38" t="s">
        <v>6310</v>
      </c>
      <c r="F712" s="35" t="s">
        <v>6311</v>
      </c>
      <c r="G712" s="35" t="s">
        <v>6312</v>
      </c>
      <c r="H712" s="35" t="s">
        <v>46</v>
      </c>
      <c r="I712" s="35" t="s">
        <v>6313</v>
      </c>
      <c r="J712" s="35" t="s">
        <v>81</v>
      </c>
      <c r="K712" s="35" t="s">
        <v>6314</v>
      </c>
      <c r="L712" s="35" t="s">
        <v>6315</v>
      </c>
      <c r="M712" s="35" t="s">
        <v>83</v>
      </c>
      <c r="O712" s="35" t="s">
        <v>26</v>
      </c>
    </row>
    <row r="713" spans="1:15" ht="13">
      <c r="A713" s="33">
        <v>43942.856996574075</v>
      </c>
      <c r="B713" s="35" t="s">
        <v>4215</v>
      </c>
      <c r="C713" s="35" t="s">
        <v>4216</v>
      </c>
      <c r="D713" s="35" t="s">
        <v>4217</v>
      </c>
      <c r="E713" s="38" t="s">
        <v>4218</v>
      </c>
      <c r="F713" s="35" t="s">
        <v>4219</v>
      </c>
      <c r="G713" s="35" t="s">
        <v>709</v>
      </c>
      <c r="H713" s="35" t="s">
        <v>33</v>
      </c>
      <c r="I713" s="35" t="s">
        <v>4220</v>
      </c>
      <c r="J713" s="35" t="s">
        <v>104</v>
      </c>
      <c r="K713" s="327"/>
      <c r="M713" s="35" t="s">
        <v>83</v>
      </c>
      <c r="O713" s="35" t="s">
        <v>26</v>
      </c>
    </row>
    <row r="714" spans="1:15" ht="13">
      <c r="A714" s="33">
        <v>43942.885760150464</v>
      </c>
      <c r="B714" s="35" t="s">
        <v>6174</v>
      </c>
      <c r="C714" s="35" t="s">
        <v>6175</v>
      </c>
      <c r="D714" s="328" t="s">
        <v>5063</v>
      </c>
      <c r="E714" s="38" t="s">
        <v>6176</v>
      </c>
      <c r="F714" s="35" t="s">
        <v>6178</v>
      </c>
      <c r="G714" s="35" t="s">
        <v>220</v>
      </c>
      <c r="H714" s="35" t="s">
        <v>33</v>
      </c>
      <c r="I714" s="35" t="s">
        <v>6172</v>
      </c>
      <c r="J714" s="35" t="s">
        <v>48</v>
      </c>
      <c r="K714" s="328" t="s">
        <v>6172</v>
      </c>
      <c r="L714" s="328" t="s">
        <v>6179</v>
      </c>
      <c r="M714" s="35" t="s">
        <v>83</v>
      </c>
      <c r="O714" s="35" t="s">
        <v>26</v>
      </c>
    </row>
    <row r="715" spans="1:15" ht="13">
      <c r="A715" s="33">
        <v>43942.90158888889</v>
      </c>
      <c r="B715" s="35" t="s">
        <v>5383</v>
      </c>
      <c r="C715" s="328" t="s">
        <v>5384</v>
      </c>
      <c r="D715" s="328" t="s">
        <v>5385</v>
      </c>
      <c r="E715" s="38" t="s">
        <v>5386</v>
      </c>
      <c r="F715" s="328" t="s">
        <v>5387</v>
      </c>
      <c r="G715" s="328" t="s">
        <v>322</v>
      </c>
      <c r="H715" s="328" t="s">
        <v>33</v>
      </c>
      <c r="I715" s="328" t="s">
        <v>5388</v>
      </c>
      <c r="J715" s="328" t="s">
        <v>48</v>
      </c>
      <c r="K715" s="328" t="s">
        <v>5389</v>
      </c>
      <c r="L715" s="328" t="s">
        <v>5390</v>
      </c>
      <c r="M715" s="328" t="s">
        <v>83</v>
      </c>
      <c r="N715" s="327"/>
      <c r="O715" s="35" t="s">
        <v>26</v>
      </c>
    </row>
    <row r="716" spans="1:15" ht="13" hidden="1">
      <c r="A716" s="33">
        <v>43942.932359583334</v>
      </c>
      <c r="B716" s="35" t="s">
        <v>6338</v>
      </c>
      <c r="C716" s="35" t="s">
        <v>798</v>
      </c>
      <c r="D716" s="35" t="s">
        <v>1153</v>
      </c>
      <c r="E716" s="38" t="s">
        <v>6339</v>
      </c>
      <c r="F716" s="35" t="s">
        <v>6340</v>
      </c>
      <c r="G716" s="35" t="s">
        <v>32</v>
      </c>
      <c r="H716" s="35" t="s">
        <v>46</v>
      </c>
      <c r="I716" s="35" t="s">
        <v>6341</v>
      </c>
      <c r="J716" s="35" t="s">
        <v>48</v>
      </c>
      <c r="M716" s="35" t="s">
        <v>67</v>
      </c>
      <c r="N716" s="35" t="s">
        <v>6343</v>
      </c>
      <c r="O716" s="35" t="s">
        <v>26</v>
      </c>
    </row>
    <row r="717" spans="1:15" ht="13">
      <c r="A717" s="33">
        <v>43943.01754184028</v>
      </c>
      <c r="B717" s="35" t="s">
        <v>4562</v>
      </c>
      <c r="C717" s="35" t="s">
        <v>4564</v>
      </c>
      <c r="D717" s="35" t="s">
        <v>4565</v>
      </c>
      <c r="E717" s="38" t="s">
        <v>4566</v>
      </c>
      <c r="F717" s="35" t="s">
        <v>4568</v>
      </c>
      <c r="G717" s="35" t="s">
        <v>4246</v>
      </c>
      <c r="H717" s="35" t="s">
        <v>33</v>
      </c>
      <c r="I717" s="35" t="s">
        <v>4569</v>
      </c>
      <c r="J717" s="35" t="s">
        <v>35</v>
      </c>
      <c r="K717" s="327"/>
      <c r="L717" s="327"/>
      <c r="M717" s="35" t="s">
        <v>83</v>
      </c>
      <c r="N717" s="327"/>
      <c r="O717" s="35" t="s">
        <v>26</v>
      </c>
    </row>
    <row r="718" spans="1:15" ht="13" hidden="1">
      <c r="A718" s="33">
        <v>43943.034394548609</v>
      </c>
      <c r="B718" s="35" t="s">
        <v>6350</v>
      </c>
      <c r="C718" s="35" t="s">
        <v>6351</v>
      </c>
      <c r="D718" s="35" t="s">
        <v>6352</v>
      </c>
      <c r="E718" s="38" t="s">
        <v>6353</v>
      </c>
      <c r="F718" s="35" t="s">
        <v>6355</v>
      </c>
      <c r="G718" s="35" t="s">
        <v>931</v>
      </c>
      <c r="H718" s="35" t="s">
        <v>46</v>
      </c>
      <c r="I718" s="35" t="s">
        <v>6357</v>
      </c>
      <c r="J718" s="35" t="s">
        <v>35</v>
      </c>
      <c r="K718" s="35" t="s">
        <v>6358</v>
      </c>
      <c r="M718" s="35" t="s">
        <v>83</v>
      </c>
      <c r="N718" s="35" t="s">
        <v>6360</v>
      </c>
      <c r="O718" s="35" t="s">
        <v>26</v>
      </c>
    </row>
    <row r="719" spans="1:15" ht="13" hidden="1">
      <c r="A719" s="33">
        <v>43943.056073043983</v>
      </c>
      <c r="B719" s="35" t="s">
        <v>6361</v>
      </c>
      <c r="C719" s="35" t="s">
        <v>6362</v>
      </c>
      <c r="D719" s="35" t="s">
        <v>283</v>
      </c>
      <c r="E719" s="38" t="s">
        <v>6364</v>
      </c>
      <c r="F719" s="35" t="s">
        <v>6365</v>
      </c>
      <c r="G719" s="35" t="s">
        <v>6366</v>
      </c>
      <c r="H719" s="35" t="s">
        <v>46</v>
      </c>
      <c r="I719" s="35" t="s">
        <v>283</v>
      </c>
      <c r="J719" s="35" t="s">
        <v>35</v>
      </c>
      <c r="M719" s="35" t="s">
        <v>67</v>
      </c>
      <c r="N719" s="35" t="s">
        <v>170</v>
      </c>
      <c r="O719" s="35" t="s">
        <v>26</v>
      </c>
    </row>
    <row r="720" spans="1:15" ht="13" hidden="1">
      <c r="A720" s="33">
        <v>43943.073766608795</v>
      </c>
      <c r="B720" s="35" t="s">
        <v>6367</v>
      </c>
      <c r="C720" s="35" t="s">
        <v>6368</v>
      </c>
      <c r="D720" s="35" t="s">
        <v>6369</v>
      </c>
      <c r="E720" s="38" t="s">
        <v>6370</v>
      </c>
      <c r="F720" s="35" t="s">
        <v>6372</v>
      </c>
      <c r="G720" s="35" t="s">
        <v>6373</v>
      </c>
      <c r="H720" s="35" t="s">
        <v>46</v>
      </c>
      <c r="I720" s="35" t="s">
        <v>6374</v>
      </c>
      <c r="J720" s="35" t="s">
        <v>35</v>
      </c>
      <c r="M720" s="35" t="s">
        <v>67</v>
      </c>
      <c r="N720" s="35" t="s">
        <v>154</v>
      </c>
      <c r="O720" s="35" t="s">
        <v>26</v>
      </c>
    </row>
    <row r="721" spans="1:15" ht="13">
      <c r="A721" s="33">
        <v>43943.084656736115</v>
      </c>
      <c r="B721" s="35" t="s">
        <v>4779</v>
      </c>
      <c r="C721" s="35" t="s">
        <v>4780</v>
      </c>
      <c r="D721" s="35" t="s">
        <v>4781</v>
      </c>
      <c r="E721" s="38" t="s">
        <v>4782</v>
      </c>
      <c r="F721" s="35" t="s">
        <v>4786</v>
      </c>
      <c r="G721" s="35" t="s">
        <v>4788</v>
      </c>
      <c r="H721" s="35" t="s">
        <v>33</v>
      </c>
      <c r="I721" s="35" t="s">
        <v>453</v>
      </c>
      <c r="J721" s="35" t="s">
        <v>48</v>
      </c>
      <c r="K721" s="328" t="s">
        <v>4789</v>
      </c>
      <c r="L721" s="328" t="s">
        <v>4790</v>
      </c>
      <c r="M721" s="35" t="s">
        <v>83</v>
      </c>
      <c r="N721" s="328" t="s">
        <v>4791</v>
      </c>
      <c r="O721" s="35" t="s">
        <v>26</v>
      </c>
    </row>
    <row r="722" spans="1:15" ht="13" hidden="1">
      <c r="A722" s="33">
        <v>43943.106684236111</v>
      </c>
      <c r="B722" s="35" t="s">
        <v>6382</v>
      </c>
      <c r="C722" s="35" t="s">
        <v>6383</v>
      </c>
      <c r="D722" s="35" t="s">
        <v>6384</v>
      </c>
      <c r="E722" s="38" t="s">
        <v>6385</v>
      </c>
      <c r="F722" s="35" t="s">
        <v>6390</v>
      </c>
      <c r="G722" s="35" t="s">
        <v>63</v>
      </c>
      <c r="H722" s="35" t="s">
        <v>46</v>
      </c>
      <c r="I722" s="35" t="s">
        <v>6391</v>
      </c>
      <c r="J722" s="35" t="s">
        <v>566</v>
      </c>
      <c r="M722" s="35" t="s">
        <v>83</v>
      </c>
      <c r="N722" s="35" t="s">
        <v>6392</v>
      </c>
      <c r="O722" s="35" t="s">
        <v>26</v>
      </c>
    </row>
    <row r="723" spans="1:15" ht="13">
      <c r="A723" s="33">
        <v>43943.112667893518</v>
      </c>
      <c r="B723" s="35" t="s">
        <v>3762</v>
      </c>
      <c r="C723" s="35" t="s">
        <v>3763</v>
      </c>
      <c r="D723" s="35" t="s">
        <v>3764</v>
      </c>
      <c r="E723" s="38" t="s">
        <v>3766</v>
      </c>
      <c r="F723" s="35" t="s">
        <v>3767</v>
      </c>
      <c r="G723" s="35" t="s">
        <v>278</v>
      </c>
      <c r="H723" s="35" t="s">
        <v>33</v>
      </c>
      <c r="I723" s="35" t="s">
        <v>3768</v>
      </c>
      <c r="J723" s="35" t="s">
        <v>48</v>
      </c>
      <c r="K723" s="328" t="s">
        <v>3769</v>
      </c>
      <c r="L723" s="328" t="s">
        <v>3770</v>
      </c>
      <c r="M723" s="35" t="s">
        <v>67</v>
      </c>
      <c r="O723" s="35" t="s">
        <v>26</v>
      </c>
    </row>
    <row r="724" spans="1:15" ht="13" hidden="1">
      <c r="A724" s="33">
        <v>43943.139415509257</v>
      </c>
      <c r="B724" s="35" t="s">
        <v>6402</v>
      </c>
      <c r="C724" s="35" t="s">
        <v>6403</v>
      </c>
      <c r="D724" s="35" t="s">
        <v>1240</v>
      </c>
      <c r="E724" s="38" t="s">
        <v>6404</v>
      </c>
      <c r="F724" s="35" t="s">
        <v>6407</v>
      </c>
      <c r="G724" s="35" t="s">
        <v>6409</v>
      </c>
      <c r="H724" s="35" t="s">
        <v>46</v>
      </c>
      <c r="I724" s="35" t="s">
        <v>6410</v>
      </c>
      <c r="J724" s="35" t="s">
        <v>81</v>
      </c>
      <c r="K724" s="35" t="s">
        <v>6411</v>
      </c>
      <c r="L724" s="35" t="s">
        <v>6412</v>
      </c>
      <c r="M724" s="35" t="s">
        <v>67</v>
      </c>
      <c r="N724" s="35" t="s">
        <v>532</v>
      </c>
      <c r="O724" s="35" t="s">
        <v>26</v>
      </c>
    </row>
    <row r="725" spans="1:15" ht="13" hidden="1">
      <c r="A725" s="33">
        <v>43943.174069375003</v>
      </c>
      <c r="B725" s="35" t="s">
        <v>6413</v>
      </c>
      <c r="C725" s="35" t="s">
        <v>6414</v>
      </c>
      <c r="D725" s="35" t="s">
        <v>6415</v>
      </c>
      <c r="E725" s="38" t="s">
        <v>6416</v>
      </c>
      <c r="F725" s="35" t="s">
        <v>6417</v>
      </c>
      <c r="G725" s="35" t="s">
        <v>6418</v>
      </c>
      <c r="H725" s="35" t="s">
        <v>46</v>
      </c>
      <c r="I725" s="35" t="s">
        <v>6419</v>
      </c>
      <c r="J725" s="35" t="s">
        <v>35</v>
      </c>
      <c r="K725" s="35" t="s">
        <v>6421</v>
      </c>
      <c r="L725" s="35" t="s">
        <v>6422</v>
      </c>
      <c r="M725" s="35" t="s">
        <v>83</v>
      </c>
      <c r="N725" s="35" t="s">
        <v>532</v>
      </c>
      <c r="O725" s="35" t="s">
        <v>26</v>
      </c>
    </row>
    <row r="726" spans="1:15" ht="13" hidden="1">
      <c r="A726" s="33">
        <v>43943.309281122682</v>
      </c>
      <c r="B726" s="35" t="s">
        <v>6423</v>
      </c>
      <c r="C726" s="35" t="s">
        <v>6424</v>
      </c>
      <c r="D726" s="35" t="s">
        <v>6425</v>
      </c>
      <c r="E726" s="38" t="s">
        <v>6426</v>
      </c>
      <c r="F726" s="35" t="s">
        <v>6427</v>
      </c>
      <c r="G726" s="35" t="s">
        <v>3507</v>
      </c>
      <c r="H726" s="35" t="s">
        <v>6428</v>
      </c>
      <c r="I726" s="35" t="s">
        <v>6429</v>
      </c>
      <c r="J726" s="35" t="s">
        <v>48</v>
      </c>
      <c r="M726" s="35" t="s">
        <v>83</v>
      </c>
      <c r="N726" s="35" t="s">
        <v>6430</v>
      </c>
      <c r="O726" s="35" t="s">
        <v>26</v>
      </c>
    </row>
    <row r="727" spans="1:15" ht="13">
      <c r="A727" s="33">
        <v>43943.31134886574</v>
      </c>
      <c r="B727" s="35" t="s">
        <v>5992</v>
      </c>
      <c r="C727" s="35" t="s">
        <v>5993</v>
      </c>
      <c r="D727" s="35" t="s">
        <v>5994</v>
      </c>
      <c r="E727" s="38" t="s">
        <v>5995</v>
      </c>
      <c r="F727" s="35" t="s">
        <v>5997</v>
      </c>
      <c r="G727" s="35" t="s">
        <v>2655</v>
      </c>
      <c r="H727" s="35" t="s">
        <v>33</v>
      </c>
      <c r="I727" s="35" t="s">
        <v>5998</v>
      </c>
      <c r="J727" s="35" t="s">
        <v>48</v>
      </c>
      <c r="K727" s="35" t="s">
        <v>5999</v>
      </c>
      <c r="L727" s="328" t="s">
        <v>6000</v>
      </c>
      <c r="M727" s="35" t="s">
        <v>83</v>
      </c>
      <c r="N727" s="327"/>
      <c r="O727" s="35" t="s">
        <v>26</v>
      </c>
    </row>
    <row r="728" spans="1:15" ht="14">
      <c r="A728" s="33">
        <v>43943.321475694444</v>
      </c>
      <c r="B728" s="313" t="s">
        <v>9353</v>
      </c>
      <c r="C728" s="308" t="s">
        <v>9354</v>
      </c>
      <c r="D728" s="313" t="s">
        <v>87</v>
      </c>
      <c r="E728" s="312" t="s">
        <v>9355</v>
      </c>
      <c r="F728" s="313"/>
      <c r="G728" s="313" t="s">
        <v>32</v>
      </c>
      <c r="H728" s="313" t="s">
        <v>33</v>
      </c>
      <c r="I728" s="313" t="s">
        <v>2959</v>
      </c>
      <c r="J728" s="313"/>
      <c r="K728" s="313"/>
      <c r="L728" s="313"/>
      <c r="M728" s="313"/>
      <c r="N728" s="313"/>
      <c r="O728" s="35" t="s">
        <v>26</v>
      </c>
    </row>
    <row r="729" spans="1:15" ht="13">
      <c r="A729" s="33">
        <v>43943.324433715279</v>
      </c>
      <c r="B729" s="35" t="s">
        <v>8704</v>
      </c>
      <c r="C729" s="35" t="s">
        <v>8705</v>
      </c>
      <c r="D729" s="35" t="s">
        <v>7079</v>
      </c>
      <c r="E729" s="38" t="s">
        <v>8706</v>
      </c>
      <c r="F729" s="327"/>
      <c r="G729" s="35" t="s">
        <v>32</v>
      </c>
      <c r="H729" s="35" t="s">
        <v>33</v>
      </c>
      <c r="I729" s="35" t="s">
        <v>425</v>
      </c>
      <c r="J729" s="35" t="s">
        <v>104</v>
      </c>
      <c r="L729" s="327"/>
      <c r="M729" s="35" t="s">
        <v>83</v>
      </c>
      <c r="O729" s="35" t="s">
        <v>26</v>
      </c>
    </row>
    <row r="730" spans="1:15" ht="13">
      <c r="A730" s="33">
        <v>43943.343193217588</v>
      </c>
      <c r="B730" s="35" t="s">
        <v>6764</v>
      </c>
      <c r="C730" s="35" t="s">
        <v>6765</v>
      </c>
      <c r="D730" s="35" t="s">
        <v>5276</v>
      </c>
      <c r="E730" s="328" t="s">
        <v>6766</v>
      </c>
      <c r="F730" s="327"/>
      <c r="G730" s="35" t="s">
        <v>32</v>
      </c>
      <c r="H730" s="35" t="s">
        <v>33</v>
      </c>
      <c r="I730" s="35" t="s">
        <v>6767</v>
      </c>
      <c r="J730" s="35" t="s">
        <v>81</v>
      </c>
      <c r="K730" s="327"/>
      <c r="L730" s="327"/>
      <c r="M730" s="35" t="s">
        <v>83</v>
      </c>
      <c r="N730" s="328" t="s">
        <v>6768</v>
      </c>
      <c r="O730" s="35" t="s">
        <v>26</v>
      </c>
    </row>
    <row r="731" spans="1:15" ht="13">
      <c r="A731" s="33">
        <v>43943.37243427083</v>
      </c>
      <c r="B731" s="35" t="s">
        <v>6716</v>
      </c>
      <c r="C731" s="35" t="s">
        <v>6717</v>
      </c>
      <c r="D731" s="35" t="s">
        <v>5276</v>
      </c>
      <c r="E731" s="38" t="s">
        <v>6718</v>
      </c>
      <c r="F731" s="327"/>
      <c r="G731" s="35" t="s">
        <v>32</v>
      </c>
      <c r="H731" s="35" t="s">
        <v>33</v>
      </c>
      <c r="I731" s="35" t="s">
        <v>6719</v>
      </c>
      <c r="J731" s="35" t="s">
        <v>81</v>
      </c>
      <c r="K731" s="327"/>
      <c r="L731" s="327"/>
      <c r="M731" s="35" t="s">
        <v>83</v>
      </c>
      <c r="O731" s="35" t="s">
        <v>26</v>
      </c>
    </row>
    <row r="732" spans="1:15" ht="13" hidden="1">
      <c r="A732" s="33">
        <v>43943.745524328704</v>
      </c>
      <c r="B732" s="35" t="s">
        <v>6477</v>
      </c>
      <c r="C732" s="35" t="s">
        <v>6478</v>
      </c>
      <c r="D732" s="35" t="s">
        <v>6479</v>
      </c>
      <c r="E732" s="38" t="s">
        <v>6480</v>
      </c>
      <c r="F732" s="35" t="s">
        <v>6482</v>
      </c>
      <c r="G732" s="35" t="s">
        <v>336</v>
      </c>
      <c r="H732" s="35" t="s">
        <v>4540</v>
      </c>
      <c r="I732" s="35" t="s">
        <v>6483</v>
      </c>
      <c r="J732" s="35" t="s">
        <v>81</v>
      </c>
      <c r="K732" s="35" t="s">
        <v>6484</v>
      </c>
      <c r="M732" s="35" t="s">
        <v>83</v>
      </c>
      <c r="N732" s="35" t="s">
        <v>6485</v>
      </c>
      <c r="O732" s="35" t="s">
        <v>26</v>
      </c>
    </row>
    <row r="733" spans="1:15" ht="13" hidden="1">
      <c r="A733" s="33">
        <v>43943.79754216435</v>
      </c>
      <c r="B733" s="35" t="s">
        <v>6486</v>
      </c>
      <c r="C733" s="35" t="s">
        <v>1356</v>
      </c>
      <c r="D733" s="35" t="s">
        <v>6487</v>
      </c>
      <c r="E733" s="38" t="s">
        <v>6488</v>
      </c>
      <c r="F733" s="35" t="s">
        <v>6492</v>
      </c>
      <c r="G733" s="35" t="s">
        <v>6493</v>
      </c>
      <c r="H733" s="35" t="s">
        <v>46</v>
      </c>
      <c r="I733" s="35" t="s">
        <v>15</v>
      </c>
      <c r="J733" s="35" t="s">
        <v>48</v>
      </c>
      <c r="M733" s="35" t="s">
        <v>67</v>
      </c>
      <c r="N733" s="35" t="s">
        <v>532</v>
      </c>
      <c r="O733" s="35" t="s">
        <v>26</v>
      </c>
    </row>
    <row r="734" spans="1:15" ht="13" hidden="1">
      <c r="A734" s="33">
        <v>43943.80111576389</v>
      </c>
      <c r="B734" s="35" t="s">
        <v>6494</v>
      </c>
      <c r="C734" s="35" t="s">
        <v>6495</v>
      </c>
      <c r="D734" s="35" t="s">
        <v>1423</v>
      </c>
      <c r="E734" s="38" t="s">
        <v>6496</v>
      </c>
      <c r="F734" s="35" t="s">
        <v>6498</v>
      </c>
      <c r="G734" s="35" t="s">
        <v>1673</v>
      </c>
      <c r="H734" s="35" t="s">
        <v>506</v>
      </c>
      <c r="I734" s="35" t="s">
        <v>6499</v>
      </c>
      <c r="J734" s="35" t="s">
        <v>746</v>
      </c>
      <c r="K734" s="35" t="s">
        <v>6500</v>
      </c>
      <c r="M734" s="35" t="s">
        <v>83</v>
      </c>
      <c r="N734" s="35" t="s">
        <v>6502</v>
      </c>
      <c r="O734" s="35" t="s">
        <v>26</v>
      </c>
    </row>
    <row r="735" spans="1:15" ht="13" hidden="1">
      <c r="A735" s="33">
        <v>43943.822530763893</v>
      </c>
      <c r="B735" s="35" t="s">
        <v>6504</v>
      </c>
      <c r="C735" s="35" t="s">
        <v>6505</v>
      </c>
      <c r="D735" s="35" t="s">
        <v>632</v>
      </c>
      <c r="E735" s="38" t="s">
        <v>6506</v>
      </c>
      <c r="F735" s="35" t="s">
        <v>6508</v>
      </c>
      <c r="G735" s="35" t="s">
        <v>6509</v>
      </c>
      <c r="H735" s="35" t="s">
        <v>46</v>
      </c>
      <c r="I735" s="35" t="s">
        <v>6510</v>
      </c>
      <c r="J735" s="35" t="s">
        <v>81</v>
      </c>
      <c r="K735" s="35" t="s">
        <v>6510</v>
      </c>
      <c r="M735" s="35" t="s">
        <v>83</v>
      </c>
      <c r="N735" s="35" t="s">
        <v>6511</v>
      </c>
      <c r="O735" s="35" t="s">
        <v>26</v>
      </c>
    </row>
    <row r="736" spans="1:15" ht="13" hidden="1">
      <c r="A736" s="33">
        <v>43943.840562453704</v>
      </c>
      <c r="B736" s="35" t="s">
        <v>6512</v>
      </c>
      <c r="C736" s="35" t="s">
        <v>6513</v>
      </c>
      <c r="D736" s="35" t="s">
        <v>6514</v>
      </c>
      <c r="E736" s="38" t="s">
        <v>6515</v>
      </c>
      <c r="F736" s="35" t="s">
        <v>6516</v>
      </c>
      <c r="G736" s="35" t="s">
        <v>6518</v>
      </c>
      <c r="H736" s="35" t="s">
        <v>387</v>
      </c>
      <c r="I736" s="35" t="s">
        <v>6520</v>
      </c>
      <c r="J736" s="35" t="s">
        <v>35</v>
      </c>
      <c r="M736" s="35" t="s">
        <v>83</v>
      </c>
      <c r="O736" s="35" t="s">
        <v>26</v>
      </c>
    </row>
    <row r="737" spans="1:15" ht="13" hidden="1">
      <c r="A737" s="33">
        <v>43943.850625277773</v>
      </c>
      <c r="B737" s="35" t="s">
        <v>6522</v>
      </c>
      <c r="C737" s="35" t="s">
        <v>631</v>
      </c>
      <c r="D737" s="35" t="s">
        <v>6524</v>
      </c>
      <c r="E737" s="38" t="s">
        <v>6525</v>
      </c>
      <c r="F737" s="35" t="s">
        <v>6526</v>
      </c>
      <c r="G737" s="35" t="s">
        <v>214</v>
      </c>
      <c r="H737" s="35" t="s">
        <v>46</v>
      </c>
      <c r="I737" s="35" t="s">
        <v>6527</v>
      </c>
      <c r="J737" s="35" t="s">
        <v>104</v>
      </c>
      <c r="M737" s="35" t="s">
        <v>83</v>
      </c>
      <c r="N737" s="35" t="s">
        <v>92</v>
      </c>
      <c r="O737" s="35" t="s">
        <v>26</v>
      </c>
    </row>
    <row r="738" spans="1:15" ht="14">
      <c r="A738" s="33">
        <v>43943.856003125002</v>
      </c>
      <c r="B738" s="313" t="s">
        <v>9207</v>
      </c>
      <c r="C738" s="308" t="s">
        <v>9208</v>
      </c>
      <c r="D738" s="313" t="s">
        <v>87</v>
      </c>
      <c r="E738" s="312" t="s">
        <v>9209</v>
      </c>
      <c r="F738" s="313"/>
      <c r="G738" s="313" t="s">
        <v>32</v>
      </c>
      <c r="H738" s="313" t="s">
        <v>33</v>
      </c>
      <c r="I738" s="313" t="s">
        <v>2959</v>
      </c>
      <c r="J738" s="313"/>
      <c r="K738" s="313"/>
      <c r="L738" s="313"/>
      <c r="M738" s="313"/>
      <c r="N738" s="313"/>
      <c r="O738" s="35" t="s">
        <v>26</v>
      </c>
    </row>
    <row r="739" spans="1:15" ht="13" hidden="1">
      <c r="A739" s="33">
        <v>43943.859946597222</v>
      </c>
      <c r="B739" s="35" t="s">
        <v>6538</v>
      </c>
      <c r="C739" s="35" t="s">
        <v>6539</v>
      </c>
      <c r="D739" s="35" t="s">
        <v>6540</v>
      </c>
      <c r="E739" s="38" t="s">
        <v>6541</v>
      </c>
      <c r="F739" s="35" t="s">
        <v>6542</v>
      </c>
      <c r="G739" s="35" t="s">
        <v>228</v>
      </c>
      <c r="H739" s="35" t="s">
        <v>387</v>
      </c>
      <c r="I739" s="35" t="s">
        <v>6543</v>
      </c>
      <c r="J739" s="35" t="s">
        <v>35</v>
      </c>
      <c r="K739" s="35" t="s">
        <v>6544</v>
      </c>
      <c r="L739" s="35" t="s">
        <v>6545</v>
      </c>
      <c r="M739" s="35" t="s">
        <v>83</v>
      </c>
      <c r="N739" s="35" t="s">
        <v>6546</v>
      </c>
      <c r="O739" s="35" t="s">
        <v>26</v>
      </c>
    </row>
    <row r="740" spans="1:15" ht="13" hidden="1">
      <c r="A740" s="33">
        <v>43943.868678032406</v>
      </c>
      <c r="B740" s="35" t="s">
        <v>6548</v>
      </c>
      <c r="C740" s="35" t="s">
        <v>6549</v>
      </c>
      <c r="D740" s="35" t="s">
        <v>6550</v>
      </c>
      <c r="E740" s="38" t="s">
        <v>6551</v>
      </c>
      <c r="F740" s="35" t="s">
        <v>6553</v>
      </c>
      <c r="G740" s="35" t="s">
        <v>1471</v>
      </c>
      <c r="H740" s="35" t="s">
        <v>46</v>
      </c>
      <c r="I740" s="35" t="s">
        <v>6554</v>
      </c>
      <c r="J740" s="35" t="s">
        <v>104</v>
      </c>
      <c r="K740" s="35" t="s">
        <v>6555</v>
      </c>
      <c r="L740" s="35" t="s">
        <v>6556</v>
      </c>
      <c r="M740" s="35" t="s">
        <v>83</v>
      </c>
      <c r="O740" s="35" t="s">
        <v>26</v>
      </c>
    </row>
    <row r="741" spans="1:15" ht="13" hidden="1">
      <c r="A741" s="33">
        <v>43943.87896548611</v>
      </c>
      <c r="B741" s="35" t="s">
        <v>6557</v>
      </c>
      <c r="C741" s="35" t="s">
        <v>6558</v>
      </c>
      <c r="D741" s="35" t="s">
        <v>6559</v>
      </c>
      <c r="E741" s="38" t="s">
        <v>6560</v>
      </c>
      <c r="F741" s="35" t="s">
        <v>6561</v>
      </c>
      <c r="G741" s="35" t="s">
        <v>1633</v>
      </c>
      <c r="H741" s="35" t="s">
        <v>46</v>
      </c>
      <c r="I741" s="35" t="s">
        <v>6563</v>
      </c>
      <c r="J741" s="35" t="s">
        <v>305</v>
      </c>
      <c r="K741" s="35" t="s">
        <v>6564</v>
      </c>
      <c r="L741" s="35" t="s">
        <v>6565</v>
      </c>
      <c r="M741" s="35" t="s">
        <v>67</v>
      </c>
      <c r="N741" s="35" t="s">
        <v>255</v>
      </c>
      <c r="O741" s="35" t="s">
        <v>26</v>
      </c>
    </row>
    <row r="742" spans="1:15" ht="13" hidden="1">
      <c r="A742" s="33">
        <v>43943.893300775468</v>
      </c>
      <c r="B742" s="35" t="s">
        <v>6566</v>
      </c>
      <c r="C742" s="35" t="s">
        <v>6567</v>
      </c>
      <c r="D742" s="35" t="s">
        <v>632</v>
      </c>
      <c r="E742" s="38" t="s">
        <v>6568</v>
      </c>
      <c r="F742" s="35" t="s">
        <v>6572</v>
      </c>
      <c r="G742" s="35" t="s">
        <v>6573</v>
      </c>
      <c r="H742" s="35" t="s">
        <v>46</v>
      </c>
      <c r="I742" s="35" t="s">
        <v>6510</v>
      </c>
      <c r="J742" s="35" t="s">
        <v>746</v>
      </c>
      <c r="K742" s="35" t="s">
        <v>6574</v>
      </c>
      <c r="M742" s="35" t="s">
        <v>67</v>
      </c>
      <c r="O742" s="35" t="s">
        <v>26</v>
      </c>
    </row>
    <row r="743" spans="1:15" ht="13" hidden="1">
      <c r="A743" s="33">
        <v>43943.91035539352</v>
      </c>
      <c r="B743" s="35" t="s">
        <v>6575</v>
      </c>
      <c r="C743" s="35" t="s">
        <v>6576</v>
      </c>
      <c r="D743" s="35" t="s">
        <v>632</v>
      </c>
      <c r="E743" s="38" t="s">
        <v>6577</v>
      </c>
      <c r="F743" s="35" t="s">
        <v>6578</v>
      </c>
      <c r="G743" s="35" t="s">
        <v>63</v>
      </c>
      <c r="H743" s="35" t="s">
        <v>46</v>
      </c>
      <c r="I743" s="35" t="s">
        <v>6579</v>
      </c>
      <c r="J743" s="35" t="s">
        <v>48</v>
      </c>
      <c r="M743" s="35" t="s">
        <v>83</v>
      </c>
      <c r="O743" s="35" t="s">
        <v>26</v>
      </c>
    </row>
    <row r="744" spans="1:15" ht="13" hidden="1">
      <c r="A744" s="33">
        <v>43943.935489571755</v>
      </c>
      <c r="B744" s="35" t="s">
        <v>6580</v>
      </c>
      <c r="C744" s="35" t="s">
        <v>6581</v>
      </c>
      <c r="D744" s="35" t="s">
        <v>6582</v>
      </c>
      <c r="E744" s="38" t="s">
        <v>6583</v>
      </c>
      <c r="F744" s="35" t="s">
        <v>6584</v>
      </c>
      <c r="G744" s="35" t="s">
        <v>691</v>
      </c>
      <c r="H744" s="35" t="s">
        <v>46</v>
      </c>
      <c r="I744" s="35" t="s">
        <v>6585</v>
      </c>
      <c r="J744" s="35" t="s">
        <v>48</v>
      </c>
      <c r="M744" s="35" t="s">
        <v>67</v>
      </c>
      <c r="N744" s="35" t="s">
        <v>3693</v>
      </c>
      <c r="O744" s="35" t="s">
        <v>26</v>
      </c>
    </row>
    <row r="745" spans="1:15" ht="13" hidden="1">
      <c r="A745" s="33">
        <v>43943.955069722222</v>
      </c>
      <c r="B745" s="35" t="s">
        <v>6586</v>
      </c>
      <c r="C745" s="35" t="s">
        <v>1489</v>
      </c>
      <c r="D745" s="35" t="s">
        <v>1490</v>
      </c>
      <c r="E745" s="38" t="s">
        <v>6587</v>
      </c>
      <c r="F745" s="35" t="s">
        <v>6588</v>
      </c>
      <c r="G745" s="35" t="s">
        <v>1633</v>
      </c>
      <c r="H745" s="35" t="s">
        <v>46</v>
      </c>
      <c r="I745" s="35" t="s">
        <v>1497</v>
      </c>
      <c r="J745" s="35" t="s">
        <v>48</v>
      </c>
      <c r="M745" s="35" t="s">
        <v>67</v>
      </c>
      <c r="N745" s="35" t="s">
        <v>6590</v>
      </c>
      <c r="O745" s="35" t="s">
        <v>26</v>
      </c>
    </row>
    <row r="746" spans="1:15" ht="13" hidden="1">
      <c r="A746" s="33">
        <v>43944.004024131944</v>
      </c>
      <c r="B746" s="35" t="s">
        <v>6591</v>
      </c>
      <c r="C746" s="35" t="s">
        <v>6592</v>
      </c>
      <c r="D746" s="35" t="s">
        <v>6271</v>
      </c>
      <c r="E746" s="38" t="s">
        <v>6595</v>
      </c>
      <c r="F746" s="35" t="s">
        <v>6597</v>
      </c>
      <c r="G746" s="35" t="s">
        <v>6418</v>
      </c>
      <c r="H746" s="35" t="s">
        <v>506</v>
      </c>
      <c r="I746" s="35" t="s">
        <v>6598</v>
      </c>
      <c r="J746" s="35" t="s">
        <v>48</v>
      </c>
      <c r="M746" s="35" t="s">
        <v>83</v>
      </c>
      <c r="N746" s="35" t="s">
        <v>255</v>
      </c>
      <c r="O746" s="35" t="s">
        <v>26</v>
      </c>
    </row>
    <row r="747" spans="1:15" ht="13">
      <c r="A747" s="33">
        <v>43944.124989467593</v>
      </c>
      <c r="B747" s="35" t="s">
        <v>6720</v>
      </c>
      <c r="C747" s="35" t="s">
        <v>6721</v>
      </c>
      <c r="D747" s="35" t="s">
        <v>5276</v>
      </c>
      <c r="E747" s="38" t="s">
        <v>6722</v>
      </c>
      <c r="F747" s="327"/>
      <c r="G747" s="35" t="s">
        <v>206</v>
      </c>
      <c r="H747" s="35" t="s">
        <v>33</v>
      </c>
      <c r="I747" s="35" t="s">
        <v>6725</v>
      </c>
      <c r="J747" s="35" t="s">
        <v>48</v>
      </c>
      <c r="K747" s="327"/>
      <c r="L747" s="327"/>
      <c r="M747" s="35" t="s">
        <v>67</v>
      </c>
      <c r="N747" s="327"/>
      <c r="O747" s="35" t="s">
        <v>26</v>
      </c>
    </row>
    <row r="748" spans="1:15" ht="13" hidden="1">
      <c r="A748" s="33">
        <v>43944.168806805552</v>
      </c>
      <c r="B748" s="35" t="s">
        <v>6607</v>
      </c>
      <c r="C748" s="35" t="s">
        <v>6608</v>
      </c>
      <c r="D748" s="35" t="s">
        <v>6609</v>
      </c>
      <c r="E748" s="38" t="s">
        <v>6610</v>
      </c>
      <c r="F748" s="35" t="s">
        <v>6614</v>
      </c>
      <c r="G748" s="35" t="s">
        <v>63</v>
      </c>
      <c r="H748" s="35" t="s">
        <v>46</v>
      </c>
      <c r="I748" s="35" t="s">
        <v>6616</v>
      </c>
      <c r="J748" s="35" t="s">
        <v>81</v>
      </c>
      <c r="K748" s="35" t="s">
        <v>6617</v>
      </c>
      <c r="L748" s="35" t="s">
        <v>6619</v>
      </c>
      <c r="M748" s="35" t="s">
        <v>67</v>
      </c>
      <c r="N748" s="35" t="s">
        <v>6620</v>
      </c>
      <c r="O748" s="35" t="s">
        <v>26</v>
      </c>
    </row>
    <row r="749" spans="1:15" ht="13" hidden="1">
      <c r="A749" s="33">
        <v>43944.263844120374</v>
      </c>
      <c r="B749" s="35" t="s">
        <v>6621</v>
      </c>
      <c r="C749" s="35" t="s">
        <v>6622</v>
      </c>
      <c r="D749" s="35" t="s">
        <v>6623</v>
      </c>
      <c r="E749" s="38" t="s">
        <v>6624</v>
      </c>
      <c r="F749" s="35" t="s">
        <v>6625</v>
      </c>
      <c r="G749" s="35" t="s">
        <v>6626</v>
      </c>
      <c r="H749" s="35" t="s">
        <v>46</v>
      </c>
      <c r="I749" s="35" t="s">
        <v>6627</v>
      </c>
      <c r="J749" s="35" t="s">
        <v>81</v>
      </c>
      <c r="K749" s="35" t="s">
        <v>6628</v>
      </c>
      <c r="L749" s="35" t="s">
        <v>6629</v>
      </c>
      <c r="M749" s="35" t="s">
        <v>67</v>
      </c>
      <c r="N749" s="35" t="s">
        <v>581</v>
      </c>
      <c r="O749" s="35" t="s">
        <v>26</v>
      </c>
    </row>
    <row r="750" spans="1:15" ht="14">
      <c r="A750" s="33">
        <v>43944.309958958329</v>
      </c>
      <c r="B750" s="313" t="s">
        <v>9238</v>
      </c>
      <c r="C750" s="308" t="s">
        <v>1888</v>
      </c>
      <c r="D750" s="313" t="s">
        <v>87</v>
      </c>
      <c r="E750" s="312" t="s">
        <v>9239</v>
      </c>
      <c r="F750" s="313"/>
      <c r="G750" s="313" t="s">
        <v>32</v>
      </c>
      <c r="H750" s="313" t="s">
        <v>33</v>
      </c>
      <c r="I750" s="313" t="s">
        <v>2959</v>
      </c>
      <c r="J750" s="313"/>
      <c r="K750" s="313"/>
      <c r="L750" s="313"/>
      <c r="M750" s="313"/>
      <c r="N750" s="313"/>
      <c r="O750" s="35" t="s">
        <v>26</v>
      </c>
    </row>
    <row r="751" spans="1:15" ht="13" hidden="1">
      <c r="A751" s="33">
        <v>43944.327450613426</v>
      </c>
      <c r="B751" s="35" t="s">
        <v>6638</v>
      </c>
      <c r="C751" s="35" t="s">
        <v>6639</v>
      </c>
      <c r="D751" s="35" t="s">
        <v>6640</v>
      </c>
      <c r="E751" s="38" t="s">
        <v>6641</v>
      </c>
      <c r="G751" s="35" t="s">
        <v>1862</v>
      </c>
      <c r="H751" s="35" t="s">
        <v>46</v>
      </c>
      <c r="I751" s="35" t="s">
        <v>6643</v>
      </c>
      <c r="J751" s="35" t="s">
        <v>48</v>
      </c>
      <c r="K751" s="35" t="s">
        <v>6644</v>
      </c>
      <c r="M751" s="35" t="s">
        <v>83</v>
      </c>
      <c r="N751" s="35" t="s">
        <v>6645</v>
      </c>
      <c r="O751" s="35" t="s">
        <v>26</v>
      </c>
    </row>
    <row r="752" spans="1:15" ht="13" hidden="1">
      <c r="A752" s="33">
        <v>43944.358694374998</v>
      </c>
      <c r="B752" s="35" t="s">
        <v>6646</v>
      </c>
      <c r="C752" s="35" t="s">
        <v>6592</v>
      </c>
      <c r="D752" s="35" t="s">
        <v>6647</v>
      </c>
      <c r="E752" s="38" t="s">
        <v>6648</v>
      </c>
      <c r="G752" s="35" t="s">
        <v>344</v>
      </c>
      <c r="H752" s="35" t="s">
        <v>46</v>
      </c>
      <c r="I752" s="35" t="s">
        <v>6649</v>
      </c>
      <c r="J752" s="35" t="s">
        <v>104</v>
      </c>
      <c r="K752" s="35" t="s">
        <v>6650</v>
      </c>
      <c r="L752" s="35" t="s">
        <v>6651</v>
      </c>
      <c r="M752" s="35" t="s">
        <v>83</v>
      </c>
      <c r="N752" s="35" t="s">
        <v>6652</v>
      </c>
      <c r="O752" s="35" t="s">
        <v>26</v>
      </c>
    </row>
    <row r="753" spans="1:15" ht="13" hidden="1">
      <c r="A753" s="33">
        <v>43944.782188750003</v>
      </c>
      <c r="B753" s="35" t="s">
        <v>6653</v>
      </c>
      <c r="C753" s="35" t="s">
        <v>6654</v>
      </c>
      <c r="D753" s="35" t="s">
        <v>6655</v>
      </c>
      <c r="E753" s="38" t="s">
        <v>6656</v>
      </c>
      <c r="G753" s="35" t="s">
        <v>394</v>
      </c>
      <c r="H753" s="35" t="s">
        <v>46</v>
      </c>
      <c r="I753" s="35" t="s">
        <v>6657</v>
      </c>
      <c r="J753" s="35" t="s">
        <v>48</v>
      </c>
      <c r="M753" s="35" t="s">
        <v>67</v>
      </c>
      <c r="N753" s="35" t="s">
        <v>6658</v>
      </c>
      <c r="O753" s="35" t="s">
        <v>26</v>
      </c>
    </row>
    <row r="754" spans="1:15" ht="13">
      <c r="A754" s="33">
        <v>43944.882360740739</v>
      </c>
      <c r="B754" s="35" t="s">
        <v>8086</v>
      </c>
      <c r="C754" s="35" t="s">
        <v>8087</v>
      </c>
      <c r="D754" s="38" t="s">
        <v>7910</v>
      </c>
      <c r="E754" s="38" t="s">
        <v>8089</v>
      </c>
      <c r="F754" s="327"/>
      <c r="G754" s="35" t="s">
        <v>206</v>
      </c>
      <c r="H754" s="35" t="s">
        <v>33</v>
      </c>
      <c r="I754" s="35" t="s">
        <v>1587</v>
      </c>
      <c r="J754" s="35" t="s">
        <v>48</v>
      </c>
      <c r="K754" s="327"/>
      <c r="M754" s="35" t="s">
        <v>67</v>
      </c>
      <c r="O754" s="35" t="s">
        <v>26</v>
      </c>
    </row>
    <row r="755" spans="1:15" ht="13" hidden="1">
      <c r="A755" s="33">
        <v>43944.903968356477</v>
      </c>
      <c r="B755" s="35" t="s">
        <v>6669</v>
      </c>
      <c r="C755" s="35" t="s">
        <v>6670</v>
      </c>
      <c r="D755" s="35" t="s">
        <v>6671</v>
      </c>
      <c r="E755" s="38" t="s">
        <v>6672</v>
      </c>
      <c r="G755" s="35" t="s">
        <v>6673</v>
      </c>
      <c r="H755" s="35" t="s">
        <v>46</v>
      </c>
      <c r="I755" s="35" t="s">
        <v>425</v>
      </c>
      <c r="J755" s="35" t="s">
        <v>48</v>
      </c>
      <c r="M755" s="35" t="s">
        <v>67</v>
      </c>
      <c r="N755" s="35" t="s">
        <v>6674</v>
      </c>
      <c r="O755" s="35" t="s">
        <v>26</v>
      </c>
    </row>
    <row r="756" spans="1:15" ht="13">
      <c r="A756" s="33">
        <v>43944.95071208333</v>
      </c>
      <c r="B756" s="35" t="s">
        <v>9576</v>
      </c>
      <c r="C756" s="324" t="s">
        <v>9299</v>
      </c>
      <c r="D756" s="324" t="s">
        <v>6286</v>
      </c>
      <c r="E756" s="323" t="s">
        <v>9577</v>
      </c>
      <c r="F756" s="327"/>
      <c r="G756" s="324" t="s">
        <v>32</v>
      </c>
      <c r="H756" s="324" t="s">
        <v>33</v>
      </c>
      <c r="I756" s="324" t="s">
        <v>9546</v>
      </c>
      <c r="J756" s="324" t="s">
        <v>48</v>
      </c>
      <c r="M756" s="324" t="s">
        <v>83</v>
      </c>
      <c r="N756" s="324" t="s">
        <v>9551</v>
      </c>
      <c r="O756" s="35" t="s">
        <v>26</v>
      </c>
    </row>
    <row r="757" spans="1:15" ht="13" hidden="1">
      <c r="A757" s="33">
        <v>43944.968312708334</v>
      </c>
      <c r="B757" s="35" t="s">
        <v>6684</v>
      </c>
      <c r="C757" s="35" t="s">
        <v>6685</v>
      </c>
      <c r="D757" s="35" t="s">
        <v>665</v>
      </c>
      <c r="E757" s="38" t="s">
        <v>6686</v>
      </c>
      <c r="G757" s="35" t="s">
        <v>6687</v>
      </c>
      <c r="H757" s="35" t="s">
        <v>46</v>
      </c>
      <c r="I757" s="35" t="s">
        <v>6688</v>
      </c>
      <c r="J757" s="35" t="s">
        <v>35</v>
      </c>
      <c r="M757" s="35" t="s">
        <v>67</v>
      </c>
      <c r="N757" s="35" t="s">
        <v>92</v>
      </c>
      <c r="O757" s="35" t="s">
        <v>26</v>
      </c>
    </row>
    <row r="758" spans="1:15" ht="13" hidden="1">
      <c r="A758" s="33">
        <v>43945.010185196763</v>
      </c>
      <c r="B758" s="35" t="s">
        <v>6689</v>
      </c>
      <c r="C758" s="35" t="s">
        <v>6690</v>
      </c>
      <c r="D758" s="35" t="s">
        <v>632</v>
      </c>
      <c r="E758" s="38" t="s">
        <v>6691</v>
      </c>
      <c r="G758" s="35" t="s">
        <v>63</v>
      </c>
      <c r="H758" s="35" t="s">
        <v>46</v>
      </c>
      <c r="I758" s="35" t="s">
        <v>6696</v>
      </c>
      <c r="J758" s="35" t="s">
        <v>35</v>
      </c>
      <c r="K758" s="35" t="s">
        <v>6696</v>
      </c>
      <c r="M758" s="35" t="s">
        <v>67</v>
      </c>
      <c r="O758" s="35" t="s">
        <v>26</v>
      </c>
    </row>
    <row r="759" spans="1:15" ht="13">
      <c r="A759" s="33">
        <v>43945.011023067127</v>
      </c>
      <c r="B759" s="35" t="s">
        <v>9593</v>
      </c>
      <c r="C759" s="324" t="s">
        <v>9299</v>
      </c>
      <c r="D759" s="324" t="s">
        <v>6286</v>
      </c>
      <c r="E759" s="323" t="s">
        <v>9594</v>
      </c>
      <c r="G759" s="324" t="s">
        <v>32</v>
      </c>
      <c r="H759" s="324" t="s">
        <v>33</v>
      </c>
      <c r="I759" s="324" t="s">
        <v>9546</v>
      </c>
      <c r="J759" s="324" t="s">
        <v>48</v>
      </c>
      <c r="K759" s="327"/>
      <c r="L759" s="327"/>
      <c r="M759" s="324" t="s">
        <v>83</v>
      </c>
      <c r="N759" s="324" t="s">
        <v>9551</v>
      </c>
      <c r="O759" s="35" t="s">
        <v>26</v>
      </c>
    </row>
    <row r="760" spans="1:15" ht="13" hidden="1">
      <c r="A760" s="33">
        <v>43945.032302939813</v>
      </c>
      <c r="B760" s="35" t="s">
        <v>6703</v>
      </c>
      <c r="C760" s="35" t="s">
        <v>6704</v>
      </c>
      <c r="D760" s="35" t="s">
        <v>6705</v>
      </c>
      <c r="E760" s="38" t="s">
        <v>6706</v>
      </c>
      <c r="G760" s="35" t="s">
        <v>4714</v>
      </c>
      <c r="H760" s="35" t="s">
        <v>399</v>
      </c>
      <c r="I760" s="35" t="s">
        <v>6708</v>
      </c>
      <c r="J760" s="35" t="s">
        <v>305</v>
      </c>
      <c r="M760" s="35" t="s">
        <v>83</v>
      </c>
      <c r="N760" s="35" t="s">
        <v>6709</v>
      </c>
      <c r="O760" s="35" t="s">
        <v>26</v>
      </c>
    </row>
    <row r="761" spans="1:15" ht="13" hidden="1">
      <c r="A761" s="33">
        <v>43945.087094548609</v>
      </c>
      <c r="B761" s="35" t="s">
        <v>6710</v>
      </c>
      <c r="C761" s="35" t="s">
        <v>2972</v>
      </c>
      <c r="D761" s="35" t="s">
        <v>6711</v>
      </c>
      <c r="E761" s="38" t="s">
        <v>6712</v>
      </c>
      <c r="G761" s="35" t="s">
        <v>63</v>
      </c>
      <c r="H761" s="35" t="s">
        <v>387</v>
      </c>
      <c r="I761" s="35" t="s">
        <v>6715</v>
      </c>
      <c r="J761" s="35" t="s">
        <v>35</v>
      </c>
      <c r="M761" s="35" t="s">
        <v>83</v>
      </c>
      <c r="O761" s="35" t="s">
        <v>26</v>
      </c>
    </row>
    <row r="762" spans="1:15" ht="13">
      <c r="A762" s="33">
        <v>43945.155298356476</v>
      </c>
      <c r="B762" s="35" t="s">
        <v>4404</v>
      </c>
      <c r="C762" s="35" t="s">
        <v>4405</v>
      </c>
      <c r="D762" s="35" t="s">
        <v>4406</v>
      </c>
      <c r="E762" s="38" t="s">
        <v>4407</v>
      </c>
      <c r="F762" s="328" t="s">
        <v>4410</v>
      </c>
      <c r="G762" s="35" t="s">
        <v>32</v>
      </c>
      <c r="H762" s="35" t="s">
        <v>33</v>
      </c>
      <c r="I762" s="35" t="s">
        <v>4412</v>
      </c>
      <c r="J762" s="35" t="s">
        <v>35</v>
      </c>
      <c r="K762" s="327"/>
      <c r="L762" s="327"/>
      <c r="M762" s="35" t="s">
        <v>83</v>
      </c>
      <c r="O762" s="35" t="s">
        <v>26</v>
      </c>
    </row>
    <row r="763" spans="1:15" ht="13">
      <c r="A763" s="33">
        <v>43945.156490254631</v>
      </c>
      <c r="B763" s="35" t="s">
        <v>4230</v>
      </c>
      <c r="C763" s="35" t="s">
        <v>4232</v>
      </c>
      <c r="D763" s="35" t="s">
        <v>4234</v>
      </c>
      <c r="E763" s="38" t="s">
        <v>4235</v>
      </c>
      <c r="F763" s="328" t="s">
        <v>4237</v>
      </c>
      <c r="G763" s="35" t="s">
        <v>32</v>
      </c>
      <c r="H763" s="35" t="s">
        <v>33</v>
      </c>
      <c r="I763" s="328" t="s">
        <v>4238</v>
      </c>
      <c r="J763" s="328" t="s">
        <v>48</v>
      </c>
      <c r="K763" s="328" t="s">
        <v>4239</v>
      </c>
      <c r="L763" s="328" t="s">
        <v>4240</v>
      </c>
      <c r="M763" s="328" t="s">
        <v>83</v>
      </c>
      <c r="O763" s="35" t="s">
        <v>26</v>
      </c>
    </row>
    <row r="764" spans="1:15" ht="13" hidden="1">
      <c r="A764" s="33">
        <v>43945.170370671301</v>
      </c>
      <c r="B764" s="35" t="s">
        <v>6726</v>
      </c>
      <c r="C764" s="35" t="s">
        <v>6727</v>
      </c>
      <c r="D764" s="35" t="s">
        <v>6728</v>
      </c>
      <c r="E764" s="38" t="s">
        <v>6729</v>
      </c>
      <c r="G764" s="35" t="s">
        <v>519</v>
      </c>
      <c r="H764" s="35" t="s">
        <v>506</v>
      </c>
      <c r="I764" s="35" t="s">
        <v>6730</v>
      </c>
      <c r="J764" s="35" t="s">
        <v>48</v>
      </c>
      <c r="M764" s="35" t="s">
        <v>83</v>
      </c>
      <c r="N764" s="35" t="s">
        <v>6731</v>
      </c>
      <c r="O764" s="35" t="s">
        <v>26</v>
      </c>
    </row>
    <row r="765" spans="1:15" ht="13" hidden="1">
      <c r="A765" s="33">
        <v>43945.194100729168</v>
      </c>
      <c r="B765" s="35" t="s">
        <v>6732</v>
      </c>
      <c r="C765" s="35" t="s">
        <v>6733</v>
      </c>
      <c r="D765" s="35" t="s">
        <v>6734</v>
      </c>
      <c r="E765" s="38" t="s">
        <v>6735</v>
      </c>
      <c r="G765" s="35" t="s">
        <v>363</v>
      </c>
      <c r="H765" s="35" t="s">
        <v>46</v>
      </c>
      <c r="I765" s="35" t="s">
        <v>6739</v>
      </c>
      <c r="J765" s="35" t="s">
        <v>48</v>
      </c>
      <c r="K765" s="35" t="s">
        <v>6740</v>
      </c>
      <c r="M765" s="35" t="s">
        <v>83</v>
      </c>
      <c r="N765" s="35" t="s">
        <v>6741</v>
      </c>
      <c r="O765" s="35" t="s">
        <v>26</v>
      </c>
    </row>
    <row r="766" spans="1:15" ht="13">
      <c r="A766" s="33">
        <v>43945.200612083332</v>
      </c>
      <c r="B766" s="35" t="s">
        <v>1058</v>
      </c>
      <c r="C766" s="35" t="s">
        <v>1059</v>
      </c>
      <c r="D766" s="35" t="s">
        <v>1060</v>
      </c>
      <c r="E766" s="38" t="s">
        <v>1061</v>
      </c>
      <c r="F766" s="328" t="s">
        <v>1067</v>
      </c>
      <c r="G766" s="35" t="s">
        <v>32</v>
      </c>
      <c r="H766" s="35" t="s">
        <v>33</v>
      </c>
      <c r="I766" s="328" t="s">
        <v>1069</v>
      </c>
      <c r="J766" s="328" t="s">
        <v>81</v>
      </c>
      <c r="K766" s="327"/>
      <c r="M766" s="328" t="s">
        <v>83</v>
      </c>
      <c r="N766" s="327"/>
      <c r="O766" s="35" t="s">
        <v>26</v>
      </c>
    </row>
    <row r="767" spans="1:15" ht="13" hidden="1">
      <c r="A767" s="33">
        <v>43945.224816099537</v>
      </c>
      <c r="B767" s="35" t="s">
        <v>6746</v>
      </c>
      <c r="C767" s="35" t="s">
        <v>6747</v>
      </c>
      <c r="D767" s="35" t="s">
        <v>1211</v>
      </c>
      <c r="E767" s="38" t="s">
        <v>6748</v>
      </c>
      <c r="G767" s="35" t="s">
        <v>63</v>
      </c>
      <c r="H767" s="35" t="s">
        <v>46</v>
      </c>
      <c r="I767" s="35" t="s">
        <v>6750</v>
      </c>
      <c r="J767" s="35" t="s">
        <v>104</v>
      </c>
      <c r="M767" s="35" t="s">
        <v>67</v>
      </c>
      <c r="N767" s="35" t="s">
        <v>6751</v>
      </c>
      <c r="O767" s="35" t="s">
        <v>26</v>
      </c>
    </row>
    <row r="768" spans="1:15" ht="13">
      <c r="A768" s="33">
        <v>43945.282420555552</v>
      </c>
      <c r="B768" s="35" t="s">
        <v>8483</v>
      </c>
      <c r="C768" s="35" t="s">
        <v>8484</v>
      </c>
      <c r="D768" s="35" t="s">
        <v>5677</v>
      </c>
      <c r="E768" s="38" t="s">
        <v>8485</v>
      </c>
      <c r="F768" s="327"/>
      <c r="G768" s="35" t="s">
        <v>296</v>
      </c>
      <c r="H768" s="35" t="s">
        <v>33</v>
      </c>
      <c r="I768" s="35" t="s">
        <v>8487</v>
      </c>
      <c r="J768" s="35" t="s">
        <v>35</v>
      </c>
      <c r="K768" s="328" t="s">
        <v>8489</v>
      </c>
      <c r="M768" s="35" t="s">
        <v>83</v>
      </c>
      <c r="N768" s="327"/>
      <c r="O768" s="35" t="s">
        <v>26</v>
      </c>
    </row>
    <row r="769" spans="1:15" ht="13">
      <c r="A769" s="33">
        <v>43945.282660150464</v>
      </c>
      <c r="B769" s="35" t="s">
        <v>1907</v>
      </c>
      <c r="C769" s="35" t="s">
        <v>1908</v>
      </c>
      <c r="D769" s="35" t="s">
        <v>1909</v>
      </c>
      <c r="E769" s="38" t="s">
        <v>1910</v>
      </c>
      <c r="F769" s="328" t="s">
        <v>1912</v>
      </c>
      <c r="G769" s="35" t="s">
        <v>1914</v>
      </c>
      <c r="H769" s="35" t="s">
        <v>33</v>
      </c>
      <c r="I769" s="35" t="s">
        <v>1916</v>
      </c>
      <c r="J769" s="35" t="s">
        <v>81</v>
      </c>
      <c r="K769" s="328" t="s">
        <v>1917</v>
      </c>
      <c r="M769" s="35" t="s">
        <v>67</v>
      </c>
      <c r="O769" s="35" t="s">
        <v>26</v>
      </c>
    </row>
    <row r="770" spans="1:15" ht="13">
      <c r="A770" s="33">
        <v>43945.284425254635</v>
      </c>
      <c r="B770" s="35" t="s">
        <v>552</v>
      </c>
      <c r="C770" s="35" t="s">
        <v>282</v>
      </c>
      <c r="D770" s="35" t="s">
        <v>553</v>
      </c>
      <c r="E770" s="38" t="s">
        <v>554</v>
      </c>
      <c r="F770" s="328" t="s">
        <v>555</v>
      </c>
      <c r="G770" s="35" t="s">
        <v>45</v>
      </c>
      <c r="H770" s="35" t="s">
        <v>33</v>
      </c>
      <c r="I770" s="35" t="s">
        <v>556</v>
      </c>
      <c r="J770" s="35" t="s">
        <v>48</v>
      </c>
      <c r="K770" s="328" t="s">
        <v>558</v>
      </c>
      <c r="M770" s="35" t="s">
        <v>83</v>
      </c>
      <c r="N770" s="327"/>
      <c r="O770" s="35" t="s">
        <v>26</v>
      </c>
    </row>
    <row r="771" spans="1:15" ht="13">
      <c r="A771" s="33">
        <v>43945.298860312498</v>
      </c>
      <c r="B771" s="35" t="s">
        <v>3615</v>
      </c>
      <c r="C771" s="35" t="s">
        <v>282</v>
      </c>
      <c r="D771" s="35" t="s">
        <v>3617</v>
      </c>
      <c r="E771" s="38" t="s">
        <v>3618</v>
      </c>
      <c r="F771" s="328" t="s">
        <v>3620</v>
      </c>
      <c r="G771" s="35" t="s">
        <v>519</v>
      </c>
      <c r="H771" s="35" t="s">
        <v>33</v>
      </c>
      <c r="I771" s="35" t="s">
        <v>15</v>
      </c>
      <c r="J771" s="35" t="s">
        <v>104</v>
      </c>
      <c r="K771" s="327"/>
      <c r="M771" s="35" t="s">
        <v>67</v>
      </c>
      <c r="N771" s="328" t="s">
        <v>3621</v>
      </c>
      <c r="O771" s="35" t="s">
        <v>26</v>
      </c>
    </row>
    <row r="772" spans="1:15" ht="13">
      <c r="A772" s="33">
        <v>43945.344824953703</v>
      </c>
      <c r="B772" s="35" t="s">
        <v>7985</v>
      </c>
      <c r="C772" s="35" t="s">
        <v>7986</v>
      </c>
      <c r="D772" s="35" t="s">
        <v>7987</v>
      </c>
      <c r="E772" s="38" t="s">
        <v>7989</v>
      </c>
      <c r="G772" s="35" t="s">
        <v>1167</v>
      </c>
      <c r="H772" s="35" t="s">
        <v>33</v>
      </c>
      <c r="I772" s="35" t="s">
        <v>7993</v>
      </c>
      <c r="J772" s="35" t="s">
        <v>35</v>
      </c>
      <c r="K772" s="328" t="s">
        <v>7994</v>
      </c>
      <c r="L772" s="327"/>
      <c r="M772" s="35" t="s">
        <v>83</v>
      </c>
      <c r="N772" s="327"/>
      <c r="O772" s="35" t="s">
        <v>26</v>
      </c>
    </row>
    <row r="773" spans="1:15" ht="13">
      <c r="A773" s="33">
        <v>43945.39810982639</v>
      </c>
      <c r="B773" s="35" t="s">
        <v>991</v>
      </c>
      <c r="C773" s="35" t="s">
        <v>992</v>
      </c>
      <c r="D773" s="35" t="s">
        <v>993</v>
      </c>
      <c r="E773" s="328" t="s">
        <v>994</v>
      </c>
      <c r="F773" s="328" t="s">
        <v>995</v>
      </c>
      <c r="G773" s="35" t="s">
        <v>996</v>
      </c>
      <c r="H773" s="35" t="s">
        <v>33</v>
      </c>
      <c r="I773" s="35" t="s">
        <v>998</v>
      </c>
      <c r="J773" s="35" t="s">
        <v>746</v>
      </c>
      <c r="K773" s="328" t="s">
        <v>999</v>
      </c>
      <c r="L773" s="328" t="s">
        <v>1000</v>
      </c>
      <c r="M773" s="35" t="s">
        <v>83</v>
      </c>
      <c r="O773" s="35" t="s">
        <v>26</v>
      </c>
    </row>
    <row r="774" spans="1:15" ht="13" hidden="1">
      <c r="A774" s="33">
        <v>43945.40825331019</v>
      </c>
      <c r="B774" s="35" t="s">
        <v>6790</v>
      </c>
      <c r="C774" s="35" t="s">
        <v>4740</v>
      </c>
      <c r="D774" s="35" t="s">
        <v>6791</v>
      </c>
      <c r="E774" s="38" t="s">
        <v>6792</v>
      </c>
      <c r="G774" s="35" t="s">
        <v>1185</v>
      </c>
      <c r="H774" s="35" t="s">
        <v>46</v>
      </c>
      <c r="I774" s="35" t="s">
        <v>6794</v>
      </c>
      <c r="J774" s="35" t="s">
        <v>48</v>
      </c>
      <c r="M774" s="35" t="s">
        <v>67</v>
      </c>
      <c r="N774" s="35" t="s">
        <v>6795</v>
      </c>
      <c r="O774" s="35" t="s">
        <v>26</v>
      </c>
    </row>
    <row r="775" spans="1:15" ht="13">
      <c r="A775" s="33">
        <v>43945.519752129629</v>
      </c>
      <c r="B775" s="35" t="s">
        <v>3284</v>
      </c>
      <c r="C775" s="35" t="s">
        <v>3285</v>
      </c>
      <c r="D775" s="35" t="s">
        <v>3286</v>
      </c>
      <c r="E775" s="38" t="s">
        <v>3287</v>
      </c>
      <c r="F775" s="328" t="s">
        <v>3289</v>
      </c>
      <c r="G775" s="35" t="s">
        <v>266</v>
      </c>
      <c r="H775" s="35" t="s">
        <v>33</v>
      </c>
      <c r="I775" s="328" t="s">
        <v>3290</v>
      </c>
      <c r="J775" s="328" t="s">
        <v>48</v>
      </c>
      <c r="K775" s="328" t="s">
        <v>3292</v>
      </c>
      <c r="L775" s="328" t="s">
        <v>3294</v>
      </c>
      <c r="M775" s="328" t="s">
        <v>83</v>
      </c>
      <c r="O775" s="35" t="s">
        <v>26</v>
      </c>
    </row>
    <row r="776" spans="1:15" ht="13" hidden="1">
      <c r="A776" s="33">
        <v>43945.951621782406</v>
      </c>
      <c r="B776" s="35" t="s">
        <v>6804</v>
      </c>
      <c r="C776" s="35" t="s">
        <v>6805</v>
      </c>
      <c r="D776" s="35" t="s">
        <v>6806</v>
      </c>
      <c r="E776" s="38" t="s">
        <v>6807</v>
      </c>
      <c r="G776" s="35" t="s">
        <v>519</v>
      </c>
      <c r="H776" s="35" t="s">
        <v>46</v>
      </c>
      <c r="I776" s="35" t="s">
        <v>6809</v>
      </c>
      <c r="J776" s="35" t="s">
        <v>35</v>
      </c>
      <c r="M776" s="35" t="s">
        <v>67</v>
      </c>
      <c r="N776" s="35" t="s">
        <v>6810</v>
      </c>
      <c r="O776" s="35" t="s">
        <v>26</v>
      </c>
    </row>
    <row r="777" spans="1:15" ht="13">
      <c r="A777" s="33">
        <v>43945.977883993051</v>
      </c>
      <c r="B777" s="35" t="s">
        <v>1900</v>
      </c>
      <c r="C777" s="35" t="s">
        <v>1901</v>
      </c>
      <c r="D777" s="35" t="s">
        <v>1902</v>
      </c>
      <c r="E777" s="38" t="s">
        <v>1903</v>
      </c>
      <c r="F777" s="328" t="s">
        <v>1904</v>
      </c>
      <c r="G777" s="35" t="s">
        <v>266</v>
      </c>
      <c r="H777" s="35" t="s">
        <v>33</v>
      </c>
      <c r="I777" s="328" t="s">
        <v>1905</v>
      </c>
      <c r="J777" s="328" t="s">
        <v>48</v>
      </c>
      <c r="K777" s="328" t="s">
        <v>1906</v>
      </c>
      <c r="M777" s="328" t="s">
        <v>67</v>
      </c>
      <c r="N777" s="327"/>
      <c r="O777" s="35" t="s">
        <v>26</v>
      </c>
    </row>
    <row r="778" spans="1:15" ht="13" hidden="1">
      <c r="A778" s="33">
        <v>43945.994368993051</v>
      </c>
      <c r="B778" s="35" t="s">
        <v>6815</v>
      </c>
      <c r="C778" s="35" t="s">
        <v>6816</v>
      </c>
      <c r="D778" s="35" t="s">
        <v>6817</v>
      </c>
      <c r="E778" s="38" t="s">
        <v>6818</v>
      </c>
      <c r="G778" s="35" t="s">
        <v>473</v>
      </c>
      <c r="H778" s="35" t="s">
        <v>46</v>
      </c>
      <c r="I778" s="35" t="s">
        <v>6821</v>
      </c>
      <c r="J778" s="35" t="s">
        <v>48</v>
      </c>
      <c r="M778" s="35" t="s">
        <v>83</v>
      </c>
      <c r="N778" s="35" t="s">
        <v>6822</v>
      </c>
      <c r="O778" s="35" t="s">
        <v>26</v>
      </c>
    </row>
    <row r="779" spans="1:15" ht="13" hidden="1">
      <c r="A779" s="33">
        <v>43946.074327962968</v>
      </c>
      <c r="B779" s="35" t="s">
        <v>6824</v>
      </c>
      <c r="C779" s="35" t="s">
        <v>6825</v>
      </c>
      <c r="D779" s="35" t="s">
        <v>6826</v>
      </c>
      <c r="E779" s="38" t="s">
        <v>6827</v>
      </c>
      <c r="G779" s="35" t="s">
        <v>344</v>
      </c>
      <c r="H779" s="35" t="s">
        <v>399</v>
      </c>
      <c r="I779" s="35" t="s">
        <v>6810</v>
      </c>
      <c r="J779" s="35" t="s">
        <v>35</v>
      </c>
      <c r="M779" s="35" t="s">
        <v>83</v>
      </c>
      <c r="N779" s="35" t="s">
        <v>6828</v>
      </c>
      <c r="O779" s="35" t="s">
        <v>26</v>
      </c>
    </row>
    <row r="780" spans="1:15" ht="13" hidden="1">
      <c r="A780" s="33">
        <v>43946.250160543983</v>
      </c>
      <c r="B780" s="35" t="s">
        <v>6829</v>
      </c>
      <c r="C780" s="35" t="s">
        <v>6830</v>
      </c>
      <c r="D780" s="35" t="s">
        <v>632</v>
      </c>
      <c r="E780" s="38" t="s">
        <v>6831</v>
      </c>
      <c r="G780" s="35" t="s">
        <v>6834</v>
      </c>
      <c r="H780" s="35" t="s">
        <v>46</v>
      </c>
      <c r="I780" s="35" t="s">
        <v>6835</v>
      </c>
      <c r="J780" s="35" t="s">
        <v>35</v>
      </c>
      <c r="K780" s="35" t="s">
        <v>6837</v>
      </c>
      <c r="M780" s="35" t="s">
        <v>83</v>
      </c>
      <c r="N780" s="35" t="s">
        <v>6839</v>
      </c>
      <c r="O780" s="35" t="s">
        <v>26</v>
      </c>
    </row>
    <row r="781" spans="1:15" ht="13">
      <c r="A781" s="33">
        <v>43946.370898171299</v>
      </c>
      <c r="B781" s="35" t="s">
        <v>7713</v>
      </c>
      <c r="C781" s="35" t="s">
        <v>7714</v>
      </c>
      <c r="D781" s="35" t="s">
        <v>7715</v>
      </c>
      <c r="E781" s="38" t="s">
        <v>7716</v>
      </c>
      <c r="F781" s="327"/>
      <c r="G781" s="35" t="s">
        <v>996</v>
      </c>
      <c r="H781" s="35" t="s">
        <v>33</v>
      </c>
      <c r="I781" s="328" t="s">
        <v>425</v>
      </c>
      <c r="J781" s="35" t="s">
        <v>35</v>
      </c>
      <c r="K781" s="327"/>
      <c r="M781" s="35" t="s">
        <v>83</v>
      </c>
      <c r="N781" s="327"/>
      <c r="O781" s="35" t="s">
        <v>26</v>
      </c>
    </row>
    <row r="782" spans="1:15" ht="13">
      <c r="A782" s="33">
        <v>43946.404188564818</v>
      </c>
      <c r="B782" s="35" t="s">
        <v>9430</v>
      </c>
      <c r="C782" s="35" t="s">
        <v>9431</v>
      </c>
      <c r="D782" s="328" t="s">
        <v>2380</v>
      </c>
      <c r="E782" s="304" t="s">
        <v>9432</v>
      </c>
      <c r="F782" s="328" t="s">
        <v>9433</v>
      </c>
      <c r="G782" s="35" t="s">
        <v>266</v>
      </c>
      <c r="H782" s="35" t="s">
        <v>33</v>
      </c>
      <c r="I782" s="319" t="s">
        <v>9423</v>
      </c>
      <c r="J782" s="327"/>
      <c r="K782" s="327"/>
      <c r="L782" s="327"/>
      <c r="M782" s="327"/>
      <c r="O782" s="35" t="s">
        <v>26</v>
      </c>
    </row>
    <row r="783" spans="1:15" ht="13" hidden="1">
      <c r="A783" s="33">
        <v>43946.893800925929</v>
      </c>
      <c r="B783" s="35" t="s">
        <v>6854</v>
      </c>
      <c r="C783" s="35" t="s">
        <v>6855</v>
      </c>
      <c r="D783" s="35" t="s">
        <v>6856</v>
      </c>
      <c r="E783" s="38" t="s">
        <v>6858</v>
      </c>
      <c r="G783" s="35" t="s">
        <v>3259</v>
      </c>
      <c r="H783" s="35" t="s">
        <v>46</v>
      </c>
      <c r="I783" s="35" t="s">
        <v>6859</v>
      </c>
      <c r="J783" s="35" t="s">
        <v>48</v>
      </c>
      <c r="M783" s="35" t="s">
        <v>83</v>
      </c>
      <c r="O783" s="35" t="s">
        <v>26</v>
      </c>
    </row>
    <row r="784" spans="1:15" ht="13" hidden="1">
      <c r="A784" s="33">
        <v>43947.034038055557</v>
      </c>
      <c r="B784" s="35" t="s">
        <v>6860</v>
      </c>
      <c r="C784" s="35" t="s">
        <v>6861</v>
      </c>
      <c r="D784" s="35" t="s">
        <v>6862</v>
      </c>
      <c r="E784" s="38" t="s">
        <v>6863</v>
      </c>
      <c r="G784" s="35" t="s">
        <v>564</v>
      </c>
      <c r="H784" s="35" t="s">
        <v>46</v>
      </c>
      <c r="I784" s="35" t="s">
        <v>304</v>
      </c>
      <c r="J784" s="35" t="s">
        <v>566</v>
      </c>
      <c r="M784" s="35" t="s">
        <v>83</v>
      </c>
      <c r="N784" s="35" t="s">
        <v>6864</v>
      </c>
      <c r="O784" s="35" t="s">
        <v>26</v>
      </c>
    </row>
    <row r="785" spans="1:15" ht="13" hidden="1">
      <c r="A785" s="33">
        <v>43947.045864837964</v>
      </c>
      <c r="B785" s="35" t="s">
        <v>6865</v>
      </c>
      <c r="C785" s="35" t="s">
        <v>6866</v>
      </c>
      <c r="D785" s="35" t="s">
        <v>6867</v>
      </c>
      <c r="E785" s="38" t="s">
        <v>6868</v>
      </c>
      <c r="G785" s="35" t="s">
        <v>6869</v>
      </c>
      <c r="H785" s="35" t="s">
        <v>506</v>
      </c>
      <c r="I785" s="35" t="s">
        <v>3120</v>
      </c>
      <c r="J785" s="35" t="s">
        <v>566</v>
      </c>
      <c r="M785" s="35" t="s">
        <v>83</v>
      </c>
      <c r="O785" s="35" t="s">
        <v>26</v>
      </c>
    </row>
    <row r="786" spans="1:15" ht="13" hidden="1">
      <c r="A786" s="33">
        <v>43947.228759687496</v>
      </c>
      <c r="B786" s="35" t="s">
        <v>6870</v>
      </c>
      <c r="C786" s="35" t="s">
        <v>6871</v>
      </c>
      <c r="D786" s="35" t="s">
        <v>6872</v>
      </c>
      <c r="E786" s="38" t="s">
        <v>6873</v>
      </c>
      <c r="G786" s="35" t="s">
        <v>802</v>
      </c>
      <c r="H786" s="35" t="s">
        <v>126</v>
      </c>
      <c r="I786" s="35" t="s">
        <v>6874</v>
      </c>
      <c r="J786" s="35" t="s">
        <v>48</v>
      </c>
      <c r="K786" s="35" t="s">
        <v>6875</v>
      </c>
      <c r="M786" s="35" t="s">
        <v>83</v>
      </c>
      <c r="N786" s="35" t="s">
        <v>6876</v>
      </c>
      <c r="O786" s="35" t="s">
        <v>26</v>
      </c>
    </row>
    <row r="787" spans="1:15" ht="13" hidden="1">
      <c r="A787" s="33">
        <v>43947.429700451394</v>
      </c>
      <c r="B787" s="35" t="s">
        <v>6877</v>
      </c>
      <c r="C787" s="35" t="s">
        <v>6878</v>
      </c>
      <c r="D787" s="35" t="s">
        <v>6879</v>
      </c>
      <c r="E787" s="38" t="s">
        <v>6880</v>
      </c>
      <c r="G787" s="35" t="s">
        <v>473</v>
      </c>
      <c r="H787" s="35" t="s">
        <v>506</v>
      </c>
      <c r="I787" s="35" t="s">
        <v>6885</v>
      </c>
      <c r="J787" s="35" t="s">
        <v>35</v>
      </c>
      <c r="K787" s="35" t="s">
        <v>6886</v>
      </c>
      <c r="L787" s="35" t="s">
        <v>6887</v>
      </c>
      <c r="M787" s="35" t="s">
        <v>83</v>
      </c>
      <c r="N787" s="35" t="s">
        <v>6888</v>
      </c>
      <c r="O787" s="35" t="s">
        <v>26</v>
      </c>
    </row>
    <row r="788" spans="1:15" ht="13" hidden="1">
      <c r="A788" s="33">
        <v>43947.89595377315</v>
      </c>
      <c r="B788" s="35" t="s">
        <v>6889</v>
      </c>
      <c r="C788" s="35" t="s">
        <v>6890</v>
      </c>
      <c r="D788" s="35" t="s">
        <v>6891</v>
      </c>
      <c r="E788" s="38" t="s">
        <v>6892</v>
      </c>
      <c r="G788" s="35" t="s">
        <v>1325</v>
      </c>
      <c r="H788" s="35" t="s">
        <v>46</v>
      </c>
      <c r="I788" s="35" t="s">
        <v>6893</v>
      </c>
      <c r="J788" s="35" t="s">
        <v>48</v>
      </c>
      <c r="K788" s="35" t="s">
        <v>6894</v>
      </c>
      <c r="L788" s="35" t="s">
        <v>6895</v>
      </c>
      <c r="M788" s="35" t="s">
        <v>67</v>
      </c>
      <c r="O788" s="35" t="s">
        <v>26</v>
      </c>
    </row>
    <row r="789" spans="1:15" ht="13">
      <c r="A789" s="33">
        <v>43947.897013217589</v>
      </c>
      <c r="B789" s="35" t="s">
        <v>9434</v>
      </c>
      <c r="C789" s="35" t="s">
        <v>9431</v>
      </c>
      <c r="D789" s="35" t="s">
        <v>2380</v>
      </c>
      <c r="E789" s="304" t="s">
        <v>9435</v>
      </c>
      <c r="F789" s="328" t="s">
        <v>9436</v>
      </c>
      <c r="G789" s="35" t="s">
        <v>266</v>
      </c>
      <c r="H789" s="35" t="s">
        <v>33</v>
      </c>
      <c r="I789" s="319" t="s">
        <v>9423</v>
      </c>
      <c r="J789" s="327"/>
      <c r="K789" s="327"/>
      <c r="L789" s="327"/>
      <c r="M789" s="327"/>
      <c r="O789" s="35" t="s">
        <v>26</v>
      </c>
    </row>
    <row r="790" spans="1:15" ht="13" hidden="1">
      <c r="A790" s="33">
        <v>43948.030979074072</v>
      </c>
      <c r="B790" s="35" t="s">
        <v>6901</v>
      </c>
      <c r="C790" s="35" t="s">
        <v>6902</v>
      </c>
      <c r="D790" s="35" t="s">
        <v>6903</v>
      </c>
      <c r="E790" s="38" t="s">
        <v>6904</v>
      </c>
      <c r="G790" s="35" t="s">
        <v>1325</v>
      </c>
      <c r="H790" s="35" t="s">
        <v>126</v>
      </c>
      <c r="I790" s="35" t="s">
        <v>6905</v>
      </c>
      <c r="J790" s="35" t="s">
        <v>35</v>
      </c>
      <c r="K790" s="35" t="s">
        <v>6906</v>
      </c>
      <c r="M790" s="35" t="s">
        <v>83</v>
      </c>
      <c r="O790" s="35" t="s">
        <v>26</v>
      </c>
    </row>
    <row r="791" spans="1:15" ht="13" hidden="1">
      <c r="A791" s="33">
        <v>43948.175411493052</v>
      </c>
      <c r="B791" s="35" t="s">
        <v>6908</v>
      </c>
      <c r="C791" s="35" t="s">
        <v>6909</v>
      </c>
      <c r="D791" s="35" t="s">
        <v>6911</v>
      </c>
      <c r="E791" s="38" t="s">
        <v>6912</v>
      </c>
      <c r="G791" s="35" t="s">
        <v>802</v>
      </c>
      <c r="H791" s="35" t="s">
        <v>46</v>
      </c>
      <c r="I791" s="35" t="s">
        <v>6917</v>
      </c>
      <c r="J791" s="35" t="s">
        <v>48</v>
      </c>
      <c r="M791" s="35" t="s">
        <v>67</v>
      </c>
      <c r="O791" s="35" t="s">
        <v>26</v>
      </c>
    </row>
    <row r="792" spans="1:15" ht="13">
      <c r="A792" s="33">
        <v>43948.20484726852</v>
      </c>
      <c r="B792" s="35" t="s">
        <v>5560</v>
      </c>
      <c r="C792" s="35" t="s">
        <v>5563</v>
      </c>
      <c r="D792" s="35" t="s">
        <v>5565</v>
      </c>
      <c r="E792" s="38" t="s">
        <v>5566</v>
      </c>
      <c r="F792" s="328" t="s">
        <v>5568</v>
      </c>
      <c r="G792" s="35" t="s">
        <v>1418</v>
      </c>
      <c r="H792" s="35" t="s">
        <v>33</v>
      </c>
      <c r="I792" s="35" t="s">
        <v>5569</v>
      </c>
      <c r="J792" s="35" t="s">
        <v>48</v>
      </c>
      <c r="K792" s="328" t="s">
        <v>5570</v>
      </c>
      <c r="L792" s="328" t="s">
        <v>5571</v>
      </c>
      <c r="M792" s="35" t="s">
        <v>83</v>
      </c>
      <c r="N792" s="327"/>
      <c r="O792" s="35" t="s">
        <v>26</v>
      </c>
    </row>
    <row r="793" spans="1:15" ht="13">
      <c r="A793" s="33">
        <v>43948.214182858792</v>
      </c>
      <c r="B793" s="35" t="s">
        <v>7759</v>
      </c>
      <c r="C793" s="35" t="s">
        <v>7760</v>
      </c>
      <c r="D793" s="35" t="s">
        <v>6884</v>
      </c>
      <c r="E793" s="38" t="s">
        <v>7761</v>
      </c>
      <c r="F793" s="327"/>
      <c r="G793" s="35" t="s">
        <v>296</v>
      </c>
      <c r="H793" s="35" t="s">
        <v>33</v>
      </c>
      <c r="I793" s="35" t="s">
        <v>7762</v>
      </c>
      <c r="J793" s="35" t="s">
        <v>48</v>
      </c>
      <c r="K793" s="328" t="s">
        <v>7763</v>
      </c>
      <c r="L793" s="328" t="s">
        <v>7764</v>
      </c>
      <c r="M793" s="35" t="s">
        <v>83</v>
      </c>
      <c r="O793" s="35" t="s">
        <v>26</v>
      </c>
    </row>
    <row r="794" spans="1:15" ht="13">
      <c r="A794" s="33">
        <v>43948.884016898148</v>
      </c>
      <c r="B794" s="35" t="s">
        <v>7759</v>
      </c>
      <c r="C794" s="35" t="s">
        <v>7760</v>
      </c>
      <c r="D794" s="35" t="s">
        <v>6884</v>
      </c>
      <c r="E794" s="38" t="s">
        <v>7761</v>
      </c>
      <c r="G794" s="35" t="s">
        <v>296</v>
      </c>
      <c r="H794" s="35" t="s">
        <v>33</v>
      </c>
      <c r="I794" s="35" t="s">
        <v>7762</v>
      </c>
      <c r="J794" s="35" t="s">
        <v>48</v>
      </c>
      <c r="K794" s="328" t="s">
        <v>7763</v>
      </c>
      <c r="L794" s="328" t="s">
        <v>7764</v>
      </c>
      <c r="M794" s="35" t="s">
        <v>83</v>
      </c>
      <c r="N794" s="327"/>
      <c r="O794" s="35" t="s">
        <v>26</v>
      </c>
    </row>
    <row r="795" spans="1:15" ht="13">
      <c r="A795" s="33">
        <v>43948.900197696756</v>
      </c>
      <c r="B795" s="35" t="s">
        <v>7759</v>
      </c>
      <c r="C795" s="35" t="s">
        <v>7760</v>
      </c>
      <c r="D795" s="35" t="s">
        <v>6884</v>
      </c>
      <c r="E795" s="38" t="s">
        <v>7761</v>
      </c>
      <c r="F795" s="327"/>
      <c r="G795" s="35" t="s">
        <v>296</v>
      </c>
      <c r="H795" s="35" t="s">
        <v>33</v>
      </c>
      <c r="I795" s="328" t="s">
        <v>7762</v>
      </c>
      <c r="J795" s="328" t="s">
        <v>48</v>
      </c>
      <c r="K795" s="328" t="s">
        <v>7763</v>
      </c>
      <c r="L795" s="328" t="s">
        <v>7764</v>
      </c>
      <c r="M795" s="328" t="s">
        <v>83</v>
      </c>
      <c r="O795" s="35" t="s">
        <v>26</v>
      </c>
    </row>
    <row r="796" spans="1:15" ht="13" hidden="1">
      <c r="A796" s="33">
        <v>43948.90979336806</v>
      </c>
      <c r="B796" s="35" t="s">
        <v>6941</v>
      </c>
      <c r="C796" s="35" t="s">
        <v>6942</v>
      </c>
      <c r="D796" s="35" t="s">
        <v>6943</v>
      </c>
      <c r="E796" s="38" t="s">
        <v>6944</v>
      </c>
      <c r="G796" s="35" t="s">
        <v>1739</v>
      </c>
      <c r="H796" s="35" t="s">
        <v>46</v>
      </c>
      <c r="I796" s="35" t="s">
        <v>662</v>
      </c>
      <c r="J796" s="35" t="s">
        <v>48</v>
      </c>
      <c r="K796" s="35" t="s">
        <v>6946</v>
      </c>
      <c r="L796" s="35" t="s">
        <v>6947</v>
      </c>
      <c r="M796" s="35" t="s">
        <v>67</v>
      </c>
      <c r="N796" s="35" t="s">
        <v>581</v>
      </c>
      <c r="O796" s="35" t="s">
        <v>26</v>
      </c>
    </row>
    <row r="797" spans="1:15" ht="13" hidden="1">
      <c r="A797" s="33">
        <v>43948.947289236108</v>
      </c>
      <c r="B797" s="35" t="s">
        <v>6951</v>
      </c>
      <c r="C797" s="35" t="s">
        <v>6953</v>
      </c>
      <c r="D797" s="35" t="s">
        <v>6954</v>
      </c>
      <c r="E797" s="38" t="s">
        <v>6955</v>
      </c>
      <c r="G797" s="35" t="s">
        <v>996</v>
      </c>
      <c r="H797" s="35" t="s">
        <v>46</v>
      </c>
      <c r="I797" s="35" t="s">
        <v>453</v>
      </c>
      <c r="J797" s="35" t="s">
        <v>48</v>
      </c>
      <c r="M797" s="35" t="s">
        <v>67</v>
      </c>
      <c r="N797" s="35" t="s">
        <v>304</v>
      </c>
      <c r="O797" s="35" t="s">
        <v>26</v>
      </c>
    </row>
    <row r="798" spans="1:15" ht="13" hidden="1">
      <c r="A798" s="33">
        <v>43948.949901342596</v>
      </c>
      <c r="B798" s="35" t="s">
        <v>6957</v>
      </c>
      <c r="C798" s="35" t="s">
        <v>1524</v>
      </c>
      <c r="D798" s="35" t="s">
        <v>6958</v>
      </c>
      <c r="E798" s="38" t="s">
        <v>6959</v>
      </c>
      <c r="G798" s="35" t="s">
        <v>63</v>
      </c>
      <c r="H798" s="35" t="s">
        <v>126</v>
      </c>
      <c r="I798" s="35" t="s">
        <v>6960</v>
      </c>
      <c r="J798" s="35" t="s">
        <v>48</v>
      </c>
      <c r="K798" s="35" t="s">
        <v>6960</v>
      </c>
      <c r="M798" s="35" t="s">
        <v>83</v>
      </c>
      <c r="N798" s="35" t="s">
        <v>6962</v>
      </c>
      <c r="O798" s="35" t="s">
        <v>26</v>
      </c>
    </row>
    <row r="799" spans="1:15" ht="13" hidden="1">
      <c r="A799" s="33">
        <v>43948.966585960647</v>
      </c>
      <c r="B799" s="35" t="s">
        <v>6963</v>
      </c>
      <c r="C799" s="35" t="s">
        <v>6964</v>
      </c>
      <c r="D799" s="35" t="s">
        <v>6965</v>
      </c>
      <c r="E799" s="38" t="s">
        <v>6966</v>
      </c>
      <c r="G799" s="35" t="s">
        <v>63</v>
      </c>
      <c r="H799" s="35" t="s">
        <v>46</v>
      </c>
      <c r="I799" s="35" t="s">
        <v>6967</v>
      </c>
      <c r="J799" s="35" t="s">
        <v>48</v>
      </c>
      <c r="M799" s="35" t="s">
        <v>67</v>
      </c>
      <c r="N799" s="35" t="s">
        <v>68</v>
      </c>
      <c r="O799" s="35" t="s">
        <v>26</v>
      </c>
    </row>
    <row r="800" spans="1:15" ht="13">
      <c r="A800" s="33">
        <v>43948.972661550928</v>
      </c>
      <c r="B800" s="35" t="s">
        <v>4792</v>
      </c>
      <c r="C800" s="35" t="s">
        <v>4793</v>
      </c>
      <c r="D800" s="35" t="s">
        <v>4794</v>
      </c>
      <c r="E800" s="38" t="s">
        <v>4795</v>
      </c>
      <c r="F800" s="328" t="s">
        <v>4796</v>
      </c>
      <c r="G800" s="35" t="s">
        <v>1185</v>
      </c>
      <c r="H800" s="35" t="s">
        <v>33</v>
      </c>
      <c r="I800" s="328" t="s">
        <v>4797</v>
      </c>
      <c r="J800" s="328" t="s">
        <v>104</v>
      </c>
      <c r="K800" s="328" t="s">
        <v>4798</v>
      </c>
      <c r="L800" s="328" t="s">
        <v>4799</v>
      </c>
      <c r="M800" s="328" t="s">
        <v>83</v>
      </c>
      <c r="N800" s="328" t="s">
        <v>4800</v>
      </c>
      <c r="O800" s="35" t="s">
        <v>26</v>
      </c>
    </row>
    <row r="801" spans="1:15" ht="13" hidden="1">
      <c r="A801" s="33">
        <v>43949.089009756943</v>
      </c>
      <c r="B801" s="35" t="s">
        <v>6976</v>
      </c>
      <c r="C801" s="35" t="s">
        <v>6977</v>
      </c>
      <c r="D801" s="35" t="s">
        <v>6978</v>
      </c>
      <c r="E801" s="38" t="s">
        <v>6979</v>
      </c>
      <c r="G801" s="35" t="s">
        <v>1823</v>
      </c>
      <c r="H801" s="35" t="s">
        <v>46</v>
      </c>
      <c r="I801" s="35" t="s">
        <v>6981</v>
      </c>
      <c r="J801" s="35" t="s">
        <v>81</v>
      </c>
      <c r="K801" s="35" t="s">
        <v>6982</v>
      </c>
      <c r="M801" s="35" t="s">
        <v>67</v>
      </c>
      <c r="O801" s="35" t="s">
        <v>26</v>
      </c>
    </row>
    <row r="802" spans="1:15" ht="13">
      <c r="A802" s="33">
        <v>43949.149126331016</v>
      </c>
      <c r="B802" s="35" t="s">
        <v>1050</v>
      </c>
      <c r="C802" s="35" t="s">
        <v>1051</v>
      </c>
      <c r="D802" s="328" t="s">
        <v>1052</v>
      </c>
      <c r="E802" s="38" t="s">
        <v>1053</v>
      </c>
      <c r="F802" s="328" t="s">
        <v>1055</v>
      </c>
      <c r="G802" s="35" t="s">
        <v>1056</v>
      </c>
      <c r="H802" s="35" t="s">
        <v>33</v>
      </c>
      <c r="I802" s="328" t="s">
        <v>1057</v>
      </c>
      <c r="J802" s="328" t="s">
        <v>104</v>
      </c>
      <c r="M802" s="328" t="s">
        <v>67</v>
      </c>
      <c r="O802" s="35" t="s">
        <v>26</v>
      </c>
    </row>
    <row r="803" spans="1:15" ht="13" hidden="1">
      <c r="A803" s="33">
        <v>43949.159275775462</v>
      </c>
      <c r="B803" s="35" t="s">
        <v>6987</v>
      </c>
      <c r="C803" s="35" t="s">
        <v>875</v>
      </c>
      <c r="D803" s="35" t="s">
        <v>6988</v>
      </c>
      <c r="E803" s="38" t="s">
        <v>6989</v>
      </c>
      <c r="G803" s="35" t="s">
        <v>4453</v>
      </c>
      <c r="H803" s="35" t="s">
        <v>387</v>
      </c>
      <c r="I803" s="35" t="s">
        <v>5975</v>
      </c>
      <c r="J803" s="35" t="s">
        <v>81</v>
      </c>
      <c r="M803" s="35" t="s">
        <v>83</v>
      </c>
      <c r="N803" s="35" t="s">
        <v>6992</v>
      </c>
      <c r="O803" s="35" t="s">
        <v>26</v>
      </c>
    </row>
    <row r="804" spans="1:15" ht="13">
      <c r="A804" s="33">
        <v>43949.237885740746</v>
      </c>
      <c r="B804" s="35" t="s">
        <v>9616</v>
      </c>
      <c r="C804" s="324" t="s">
        <v>9617</v>
      </c>
      <c r="D804" s="324" t="s">
        <v>6286</v>
      </c>
      <c r="E804" s="323" t="s">
        <v>9618</v>
      </c>
      <c r="F804" s="327"/>
      <c r="G804" s="324" t="s">
        <v>9615</v>
      </c>
      <c r="H804" s="324" t="s">
        <v>33</v>
      </c>
      <c r="I804" s="324" t="s">
        <v>9546</v>
      </c>
      <c r="J804" s="324" t="s">
        <v>48</v>
      </c>
      <c r="M804" s="324" t="s">
        <v>83</v>
      </c>
      <c r="N804" s="324" t="s">
        <v>9551</v>
      </c>
      <c r="O804" s="35" t="s">
        <v>26</v>
      </c>
    </row>
    <row r="805" spans="1:15" ht="13" hidden="1">
      <c r="A805" s="33">
        <v>43949.241695173609</v>
      </c>
      <c r="B805" s="35" t="s">
        <v>7006</v>
      </c>
      <c r="C805" s="35" t="s">
        <v>7008</v>
      </c>
      <c r="D805" s="35" t="s">
        <v>7009</v>
      </c>
      <c r="E805" s="38" t="s">
        <v>7011</v>
      </c>
      <c r="G805" s="35" t="s">
        <v>32</v>
      </c>
      <c r="H805" s="35" t="s">
        <v>46</v>
      </c>
      <c r="I805" s="35" t="s">
        <v>7015</v>
      </c>
      <c r="J805" s="35" t="s">
        <v>48</v>
      </c>
      <c r="M805" s="35" t="s">
        <v>67</v>
      </c>
      <c r="N805" s="35" t="s">
        <v>7016</v>
      </c>
      <c r="O805" s="35" t="s">
        <v>26</v>
      </c>
    </row>
    <row r="806" spans="1:15" ht="13" hidden="1">
      <c r="A806" s="33">
        <v>43949.259866296299</v>
      </c>
      <c r="B806" s="35" t="s">
        <v>7017</v>
      </c>
      <c r="C806" s="35" t="s">
        <v>7018</v>
      </c>
      <c r="D806" s="35" t="s">
        <v>632</v>
      </c>
      <c r="E806" s="38" t="s">
        <v>7019</v>
      </c>
      <c r="G806" s="35" t="s">
        <v>7020</v>
      </c>
      <c r="H806" s="35" t="s">
        <v>46</v>
      </c>
      <c r="I806" s="35" t="s">
        <v>7021</v>
      </c>
      <c r="J806" s="35" t="s">
        <v>48</v>
      </c>
      <c r="K806" s="35" t="s">
        <v>7022</v>
      </c>
      <c r="L806" s="35" t="s">
        <v>7023</v>
      </c>
      <c r="M806" s="35" t="s">
        <v>67</v>
      </c>
      <c r="N806" s="35" t="s">
        <v>7024</v>
      </c>
      <c r="O806" s="35" t="s">
        <v>26</v>
      </c>
    </row>
    <row r="807" spans="1:15" ht="13" hidden="1">
      <c r="A807" s="33">
        <v>43949.81490938658</v>
      </c>
      <c r="B807" s="35" t="s">
        <v>7026</v>
      </c>
      <c r="C807" s="35" t="s">
        <v>7027</v>
      </c>
      <c r="D807" s="35" t="s">
        <v>7028</v>
      </c>
      <c r="E807" s="38" t="s">
        <v>7029</v>
      </c>
      <c r="G807" s="35" t="s">
        <v>32</v>
      </c>
      <c r="H807" s="35" t="s">
        <v>5442</v>
      </c>
      <c r="I807" s="35" t="s">
        <v>7034</v>
      </c>
      <c r="J807" s="35" t="s">
        <v>48</v>
      </c>
      <c r="M807" s="35" t="s">
        <v>83</v>
      </c>
      <c r="N807" s="35" t="s">
        <v>7036</v>
      </c>
      <c r="O807" s="35" t="s">
        <v>26</v>
      </c>
    </row>
    <row r="808" spans="1:15" ht="13">
      <c r="A808" s="33">
        <v>43949.890110567125</v>
      </c>
      <c r="B808" s="35" t="s">
        <v>9612</v>
      </c>
      <c r="C808" s="324" t="s">
        <v>9613</v>
      </c>
      <c r="D808" s="324" t="s">
        <v>6286</v>
      </c>
      <c r="E808" s="323" t="s">
        <v>9614</v>
      </c>
      <c r="F808" s="327"/>
      <c r="G808" s="324" t="s">
        <v>9615</v>
      </c>
      <c r="H808" s="324" t="s">
        <v>33</v>
      </c>
      <c r="I808" s="324" t="s">
        <v>9546</v>
      </c>
      <c r="J808" s="324" t="s">
        <v>48</v>
      </c>
      <c r="K808" s="327"/>
      <c r="M808" s="324" t="s">
        <v>83</v>
      </c>
      <c r="N808" s="324" t="s">
        <v>9551</v>
      </c>
      <c r="O808" s="35" t="s">
        <v>26</v>
      </c>
    </row>
    <row r="809" spans="1:15" ht="13" hidden="1">
      <c r="A809" s="33">
        <v>43949.914477673607</v>
      </c>
      <c r="B809" s="35" t="s">
        <v>7038</v>
      </c>
      <c r="C809" s="35" t="s">
        <v>40</v>
      </c>
      <c r="D809" s="35" t="s">
        <v>7039</v>
      </c>
      <c r="E809" s="38" t="s">
        <v>7040</v>
      </c>
      <c r="G809" s="35" t="s">
        <v>1731</v>
      </c>
      <c r="H809" s="35" t="s">
        <v>506</v>
      </c>
      <c r="I809" s="35" t="s">
        <v>7043</v>
      </c>
      <c r="J809" s="35" t="s">
        <v>81</v>
      </c>
      <c r="M809" s="35" t="s">
        <v>83</v>
      </c>
      <c r="N809" s="35" t="s">
        <v>7045</v>
      </c>
      <c r="O809" s="35" t="s">
        <v>26</v>
      </c>
    </row>
    <row r="810" spans="1:15" ht="13" hidden="1">
      <c r="A810" s="33">
        <v>43949.9146596875</v>
      </c>
      <c r="B810" s="35" t="s">
        <v>7048</v>
      </c>
      <c r="C810" s="35" t="s">
        <v>7049</v>
      </c>
      <c r="D810" s="35" t="s">
        <v>632</v>
      </c>
      <c r="E810" s="38" t="s">
        <v>7050</v>
      </c>
      <c r="G810" s="35" t="s">
        <v>242</v>
      </c>
      <c r="H810" s="35" t="s">
        <v>46</v>
      </c>
      <c r="I810" s="35" t="s">
        <v>632</v>
      </c>
      <c r="J810" s="35" t="s">
        <v>48</v>
      </c>
      <c r="K810" s="35" t="s">
        <v>7051</v>
      </c>
      <c r="M810" s="35" t="s">
        <v>67</v>
      </c>
      <c r="N810" s="35" t="s">
        <v>68</v>
      </c>
      <c r="O810" s="35" t="s">
        <v>26</v>
      </c>
    </row>
    <row r="811" spans="1:15" ht="13" hidden="1">
      <c r="A811" s="33">
        <v>43949.944518194447</v>
      </c>
      <c r="B811" s="35" t="s">
        <v>5191</v>
      </c>
      <c r="C811" s="35" t="s">
        <v>875</v>
      </c>
      <c r="D811" s="35" t="s">
        <v>5192</v>
      </c>
      <c r="E811" s="38" t="s">
        <v>7055</v>
      </c>
      <c r="G811" s="35" t="s">
        <v>63</v>
      </c>
      <c r="H811" s="35" t="s">
        <v>46</v>
      </c>
      <c r="I811" s="35" t="s">
        <v>7059</v>
      </c>
      <c r="J811" s="35" t="s">
        <v>81</v>
      </c>
      <c r="K811" s="35" t="s">
        <v>7060</v>
      </c>
      <c r="L811" s="35" t="s">
        <v>7061</v>
      </c>
      <c r="M811" s="35" t="s">
        <v>67</v>
      </c>
      <c r="N811" s="35" t="s">
        <v>7062</v>
      </c>
      <c r="O811" s="35" t="s">
        <v>26</v>
      </c>
    </row>
    <row r="812" spans="1:15" ht="13" hidden="1">
      <c r="A812" s="33">
        <v>43949.967928437502</v>
      </c>
      <c r="B812" s="35" t="s">
        <v>7063</v>
      </c>
      <c r="C812" s="35" t="s">
        <v>7064</v>
      </c>
      <c r="D812" s="35" t="s">
        <v>632</v>
      </c>
      <c r="E812" s="38" t="s">
        <v>7065</v>
      </c>
      <c r="G812" s="35" t="s">
        <v>394</v>
      </c>
      <c r="H812" s="35" t="s">
        <v>46</v>
      </c>
      <c r="I812" s="35" t="s">
        <v>7072</v>
      </c>
      <c r="J812" s="35" t="s">
        <v>48</v>
      </c>
      <c r="K812" s="35" t="s">
        <v>7073</v>
      </c>
      <c r="M812" s="35" t="s">
        <v>67</v>
      </c>
      <c r="O812" s="35" t="s">
        <v>26</v>
      </c>
    </row>
    <row r="813" spans="1:15" ht="13" hidden="1">
      <c r="A813" s="33">
        <v>43949.997729606483</v>
      </c>
      <c r="B813" s="35" t="s">
        <v>7074</v>
      </c>
      <c r="C813" s="35" t="s">
        <v>7075</v>
      </c>
      <c r="D813" s="35" t="s">
        <v>7076</v>
      </c>
      <c r="E813" s="38" t="s">
        <v>7078</v>
      </c>
      <c r="G813" s="35" t="s">
        <v>4973</v>
      </c>
      <c r="H813" s="35" t="s">
        <v>46</v>
      </c>
      <c r="I813" s="35" t="s">
        <v>7084</v>
      </c>
      <c r="J813" s="35" t="s">
        <v>566</v>
      </c>
      <c r="K813" s="35" t="s">
        <v>7085</v>
      </c>
      <c r="L813" s="35" t="s">
        <v>7087</v>
      </c>
      <c r="M813" s="35" t="s">
        <v>83</v>
      </c>
      <c r="N813" s="35" t="s">
        <v>7088</v>
      </c>
      <c r="O813" s="35" t="s">
        <v>26</v>
      </c>
    </row>
    <row r="814" spans="1:15" ht="13" hidden="1">
      <c r="A814" s="33">
        <v>43949.997989502313</v>
      </c>
      <c r="B814" s="35" t="s">
        <v>7089</v>
      </c>
      <c r="C814" s="35" t="s">
        <v>7090</v>
      </c>
      <c r="D814" s="38" t="s">
        <v>7091</v>
      </c>
      <c r="E814" s="38" t="s">
        <v>7093</v>
      </c>
      <c r="G814" s="35" t="s">
        <v>7100</v>
      </c>
      <c r="H814" s="35" t="s">
        <v>46</v>
      </c>
      <c r="I814" s="35" t="s">
        <v>425</v>
      </c>
      <c r="J814" s="35" t="s">
        <v>35</v>
      </c>
      <c r="M814" s="35" t="s">
        <v>67</v>
      </c>
      <c r="N814" s="35" t="s">
        <v>180</v>
      </c>
      <c r="O814" s="35" t="s">
        <v>26</v>
      </c>
    </row>
    <row r="815" spans="1:15" ht="13" hidden="1">
      <c r="A815" s="33">
        <v>43950.00081680555</v>
      </c>
      <c r="B815" s="35" t="s">
        <v>7102</v>
      </c>
      <c r="C815" s="35" t="s">
        <v>7103</v>
      </c>
      <c r="D815" s="35" t="s">
        <v>7104</v>
      </c>
      <c r="E815" s="38" t="s">
        <v>7105</v>
      </c>
      <c r="G815" s="35" t="s">
        <v>996</v>
      </c>
      <c r="H815" s="35" t="s">
        <v>506</v>
      </c>
      <c r="I815" s="35" t="s">
        <v>7111</v>
      </c>
      <c r="J815" s="35" t="s">
        <v>104</v>
      </c>
      <c r="K815" s="35" t="s">
        <v>7112</v>
      </c>
      <c r="M815" s="35" t="s">
        <v>67</v>
      </c>
      <c r="O815" s="35" t="s">
        <v>26</v>
      </c>
    </row>
    <row r="816" spans="1:15" ht="13" hidden="1">
      <c r="A816" s="33">
        <v>43950.038407071756</v>
      </c>
      <c r="B816" s="35" t="s">
        <v>7114</v>
      </c>
      <c r="C816" s="35" t="s">
        <v>7115</v>
      </c>
      <c r="D816" s="35" t="s">
        <v>632</v>
      </c>
      <c r="E816" s="38" t="s">
        <v>7116</v>
      </c>
      <c r="G816" s="35" t="s">
        <v>3225</v>
      </c>
      <c r="H816" s="35" t="s">
        <v>46</v>
      </c>
      <c r="I816" s="35" t="s">
        <v>6510</v>
      </c>
      <c r="J816" s="35" t="s">
        <v>48</v>
      </c>
      <c r="K816" s="35" t="s">
        <v>6510</v>
      </c>
      <c r="L816" s="35" t="s">
        <v>6510</v>
      </c>
      <c r="M816" s="35" t="s">
        <v>67</v>
      </c>
      <c r="N816" s="35" t="s">
        <v>7117</v>
      </c>
      <c r="O816" s="35" t="s">
        <v>26</v>
      </c>
    </row>
    <row r="817" spans="1:15" ht="13">
      <c r="A817" s="33">
        <v>43950.113150555553</v>
      </c>
      <c r="B817" s="35" t="s">
        <v>9619</v>
      </c>
      <c r="C817" s="324" t="s">
        <v>9613</v>
      </c>
      <c r="D817" s="324" t="s">
        <v>6286</v>
      </c>
      <c r="E817" s="323" t="s">
        <v>9620</v>
      </c>
      <c r="F817" s="327"/>
      <c r="G817" s="324" t="s">
        <v>9615</v>
      </c>
      <c r="H817" s="324" t="s">
        <v>33</v>
      </c>
      <c r="I817" s="324" t="s">
        <v>9546</v>
      </c>
      <c r="J817" s="324" t="s">
        <v>48</v>
      </c>
      <c r="K817" s="327"/>
      <c r="M817" s="324" t="s">
        <v>83</v>
      </c>
      <c r="N817" s="324" t="s">
        <v>9551</v>
      </c>
      <c r="O817" s="35" t="s">
        <v>26</v>
      </c>
    </row>
    <row r="818" spans="1:15" ht="13">
      <c r="A818" s="33">
        <v>43950.182034930556</v>
      </c>
      <c r="B818" s="35" t="s">
        <v>3409</v>
      </c>
      <c r="C818" s="35" t="s">
        <v>3410</v>
      </c>
      <c r="D818" s="35" t="s">
        <v>3411</v>
      </c>
      <c r="E818" s="38" t="s">
        <v>3412</v>
      </c>
      <c r="F818" s="328" t="s">
        <v>3415</v>
      </c>
      <c r="G818" s="35" t="s">
        <v>3259</v>
      </c>
      <c r="H818" s="35" t="s">
        <v>33</v>
      </c>
      <c r="I818" s="328" t="s">
        <v>3417</v>
      </c>
      <c r="J818" s="328" t="s">
        <v>48</v>
      </c>
      <c r="K818" s="328" t="s">
        <v>3418</v>
      </c>
      <c r="L818" s="328" t="s">
        <v>3419</v>
      </c>
      <c r="M818" s="328" t="s">
        <v>83</v>
      </c>
      <c r="N818" s="328" t="s">
        <v>1420</v>
      </c>
      <c r="O818" s="35" t="s">
        <v>26</v>
      </c>
    </row>
    <row r="819" spans="1:15" ht="13" hidden="1">
      <c r="A819" s="33">
        <v>43950.223500578708</v>
      </c>
      <c r="B819" s="35" t="s">
        <v>7133</v>
      </c>
      <c r="C819" s="35" t="s">
        <v>7134</v>
      </c>
      <c r="D819" s="35" t="s">
        <v>7135</v>
      </c>
      <c r="E819" s="38" t="s">
        <v>7136</v>
      </c>
      <c r="G819" s="35" t="s">
        <v>1278</v>
      </c>
      <c r="H819" s="35" t="s">
        <v>7137</v>
      </c>
      <c r="I819" s="35" t="s">
        <v>7138</v>
      </c>
      <c r="J819" s="35" t="s">
        <v>35</v>
      </c>
      <c r="K819" s="35" t="s">
        <v>7139</v>
      </c>
      <c r="L819" s="35" t="s">
        <v>7140</v>
      </c>
      <c r="M819" s="35" t="s">
        <v>83</v>
      </c>
      <c r="O819" s="35" t="s">
        <v>26</v>
      </c>
    </row>
    <row r="820" spans="1:15" ht="13" hidden="1">
      <c r="A820" s="33">
        <v>43950.310131203703</v>
      </c>
      <c r="B820" s="35" t="s">
        <v>7141</v>
      </c>
      <c r="C820" s="35" t="s">
        <v>7142</v>
      </c>
      <c r="D820" s="35" t="s">
        <v>7143</v>
      </c>
      <c r="E820" s="38" t="s">
        <v>7144</v>
      </c>
      <c r="G820" s="35" t="s">
        <v>4937</v>
      </c>
      <c r="H820" s="35" t="s">
        <v>46</v>
      </c>
      <c r="I820" s="35" t="s">
        <v>7147</v>
      </c>
      <c r="J820" s="35" t="s">
        <v>48</v>
      </c>
      <c r="M820" s="35" t="s">
        <v>67</v>
      </c>
      <c r="N820" s="35" t="s">
        <v>7150</v>
      </c>
      <c r="O820" s="35" t="s">
        <v>26</v>
      </c>
    </row>
    <row r="821" spans="1:15" ht="13">
      <c r="A821" s="33">
        <v>43950.336541747689</v>
      </c>
      <c r="B821" s="35" t="s">
        <v>1398</v>
      </c>
      <c r="C821" s="35" t="s">
        <v>1399</v>
      </c>
      <c r="D821" s="35" t="s">
        <v>1400</v>
      </c>
      <c r="E821" s="328" t="s">
        <v>1398</v>
      </c>
      <c r="F821" s="328" t="s">
        <v>1402</v>
      </c>
      <c r="G821" s="35" t="s">
        <v>519</v>
      </c>
      <c r="H821" s="35" t="s">
        <v>33</v>
      </c>
      <c r="I821" s="328" t="s">
        <v>1403</v>
      </c>
      <c r="J821" s="328" t="s">
        <v>35</v>
      </c>
      <c r="K821" s="328" t="s">
        <v>1404</v>
      </c>
      <c r="L821" s="328" t="s">
        <v>1405</v>
      </c>
      <c r="M821" s="328" t="s">
        <v>67</v>
      </c>
      <c r="O821" s="35" t="s">
        <v>26</v>
      </c>
    </row>
    <row r="822" spans="1:15" ht="13">
      <c r="A822" s="33">
        <v>43950.341937997684</v>
      </c>
      <c r="B822" s="35" t="s">
        <v>5264</v>
      </c>
      <c r="C822" s="35" t="s">
        <v>5265</v>
      </c>
      <c r="D822" s="35" t="s">
        <v>5266</v>
      </c>
      <c r="E822" s="38" t="s">
        <v>5267</v>
      </c>
      <c r="F822" s="328" t="s">
        <v>5268</v>
      </c>
      <c r="G822" s="35" t="s">
        <v>63</v>
      </c>
      <c r="H822" s="35" t="s">
        <v>33</v>
      </c>
      <c r="I822" s="328" t="s">
        <v>5269</v>
      </c>
      <c r="J822" s="328" t="s">
        <v>81</v>
      </c>
      <c r="K822" s="327"/>
      <c r="L822" s="327"/>
      <c r="M822" s="328" t="s">
        <v>83</v>
      </c>
      <c r="O822" s="35" t="s">
        <v>26</v>
      </c>
    </row>
    <row r="823" spans="1:15" ht="13">
      <c r="A823" s="33">
        <v>43950.37190085648</v>
      </c>
      <c r="B823" s="35" t="s">
        <v>8240</v>
      </c>
      <c r="C823" s="35" t="s">
        <v>8241</v>
      </c>
      <c r="D823" s="35" t="s">
        <v>6846</v>
      </c>
      <c r="E823" s="38" t="s">
        <v>8242</v>
      </c>
      <c r="F823" s="327"/>
      <c r="G823" s="35" t="s">
        <v>63</v>
      </c>
      <c r="H823" s="35" t="s">
        <v>33</v>
      </c>
      <c r="I823" s="328" t="s">
        <v>8244</v>
      </c>
      <c r="J823" s="328" t="s">
        <v>48</v>
      </c>
      <c r="K823" s="328" t="s">
        <v>8245</v>
      </c>
      <c r="L823" s="328" t="s">
        <v>8246</v>
      </c>
      <c r="M823" s="328" t="s">
        <v>83</v>
      </c>
      <c r="N823" s="327"/>
      <c r="O823" s="35" t="s">
        <v>26</v>
      </c>
    </row>
    <row r="824" spans="1:15" ht="13" hidden="1">
      <c r="A824" s="33">
        <v>43950.384954236113</v>
      </c>
      <c r="B824" s="35" t="s">
        <v>7169</v>
      </c>
      <c r="C824" s="35" t="s">
        <v>7170</v>
      </c>
      <c r="D824" s="35" t="s">
        <v>7171</v>
      </c>
      <c r="E824" s="38" t="s">
        <v>7172</v>
      </c>
      <c r="G824" s="35" t="s">
        <v>709</v>
      </c>
      <c r="H824" s="35" t="s">
        <v>506</v>
      </c>
      <c r="I824" s="35" t="s">
        <v>7173</v>
      </c>
      <c r="J824" s="35" t="s">
        <v>48</v>
      </c>
      <c r="K824" s="35" t="s">
        <v>7174</v>
      </c>
      <c r="L824" s="35" t="s">
        <v>7175</v>
      </c>
      <c r="M824" s="35" t="s">
        <v>67</v>
      </c>
      <c r="O824" s="35" t="s">
        <v>26</v>
      </c>
    </row>
    <row r="825" spans="1:15" ht="13">
      <c r="A825" s="33">
        <v>43950.418040613426</v>
      </c>
      <c r="B825" s="35" t="s">
        <v>9148</v>
      </c>
      <c r="C825" s="35" t="s">
        <v>8619</v>
      </c>
      <c r="D825" s="38" t="s">
        <v>9149</v>
      </c>
      <c r="E825" s="38" t="s">
        <v>9150</v>
      </c>
      <c r="F825" s="327"/>
      <c r="G825" s="35" t="s">
        <v>519</v>
      </c>
      <c r="H825" s="35" t="s">
        <v>33</v>
      </c>
      <c r="I825" s="328" t="s">
        <v>9151</v>
      </c>
      <c r="J825" s="328" t="s">
        <v>48</v>
      </c>
      <c r="K825" s="327"/>
      <c r="L825" s="327"/>
      <c r="M825" s="328" t="s">
        <v>83</v>
      </c>
      <c r="O825" s="35" t="s">
        <v>26</v>
      </c>
    </row>
    <row r="826" spans="1:15" ht="13" hidden="1">
      <c r="A826" s="33">
        <v>43950.870153321761</v>
      </c>
      <c r="B826" s="35" t="s">
        <v>7189</v>
      </c>
      <c r="C826" s="35" t="s">
        <v>7190</v>
      </c>
      <c r="D826" s="35" t="s">
        <v>7191</v>
      </c>
      <c r="E826" s="38" t="s">
        <v>7192</v>
      </c>
      <c r="G826" s="35" t="s">
        <v>32</v>
      </c>
      <c r="H826" s="35" t="s">
        <v>506</v>
      </c>
      <c r="I826" s="35" t="s">
        <v>7193</v>
      </c>
      <c r="J826" s="35" t="s">
        <v>48</v>
      </c>
      <c r="M826" s="35" t="s">
        <v>67</v>
      </c>
      <c r="O826" s="35" t="s">
        <v>26</v>
      </c>
    </row>
    <row r="827" spans="1:15" ht="13">
      <c r="A827" s="33">
        <v>43950.930773877313</v>
      </c>
      <c r="B827" s="35" t="s">
        <v>9110</v>
      </c>
      <c r="C827" s="35" t="s">
        <v>9111</v>
      </c>
      <c r="D827" s="35" t="s">
        <v>9054</v>
      </c>
      <c r="E827" s="328" t="s">
        <v>9112</v>
      </c>
      <c r="F827" s="327"/>
      <c r="G827" s="35" t="s">
        <v>9113</v>
      </c>
      <c r="H827" s="35" t="s">
        <v>33</v>
      </c>
      <c r="I827" s="35" t="s">
        <v>9114</v>
      </c>
      <c r="J827" s="35" t="s">
        <v>35</v>
      </c>
      <c r="K827" s="328" t="s">
        <v>9115</v>
      </c>
      <c r="L827" s="328" t="s">
        <v>9116</v>
      </c>
      <c r="M827" s="35" t="s">
        <v>83</v>
      </c>
      <c r="O827" s="35" t="s">
        <v>26</v>
      </c>
    </row>
    <row r="828" spans="1:15" ht="13">
      <c r="A828" s="33">
        <v>43951.018531620372</v>
      </c>
      <c r="B828" s="35" t="s">
        <v>5517</v>
      </c>
      <c r="C828" s="35" t="s">
        <v>5518</v>
      </c>
      <c r="D828" s="35" t="s">
        <v>5519</v>
      </c>
      <c r="E828" s="38" t="s">
        <v>5520</v>
      </c>
      <c r="F828" s="328" t="s">
        <v>5521</v>
      </c>
      <c r="G828" s="35" t="s">
        <v>32</v>
      </c>
      <c r="H828" s="35" t="s">
        <v>33</v>
      </c>
      <c r="I828" s="35" t="s">
        <v>5522</v>
      </c>
      <c r="J828" s="35" t="s">
        <v>104</v>
      </c>
      <c r="K828" s="327"/>
      <c r="L828" s="327"/>
      <c r="M828" s="35" t="s">
        <v>83</v>
      </c>
      <c r="N828" s="328" t="s">
        <v>2215</v>
      </c>
      <c r="O828" s="35" t="s">
        <v>26</v>
      </c>
    </row>
    <row r="829" spans="1:15" ht="13" hidden="1">
      <c r="A829" s="33">
        <v>43951.056033587964</v>
      </c>
      <c r="B829" s="35" t="s">
        <v>7210</v>
      </c>
      <c r="C829" s="35" t="s">
        <v>1267</v>
      </c>
      <c r="D829" s="35" t="s">
        <v>7211</v>
      </c>
      <c r="E829" s="38" t="s">
        <v>7212</v>
      </c>
      <c r="G829" s="35" t="s">
        <v>214</v>
      </c>
      <c r="H829" s="35" t="s">
        <v>506</v>
      </c>
      <c r="I829" s="35" t="s">
        <v>7216</v>
      </c>
      <c r="J829" s="35" t="s">
        <v>35</v>
      </c>
      <c r="K829" s="35" t="s">
        <v>7217</v>
      </c>
      <c r="M829" s="35" t="s">
        <v>83</v>
      </c>
      <c r="N829" s="35" t="s">
        <v>7218</v>
      </c>
      <c r="O829" s="35" t="s">
        <v>26</v>
      </c>
    </row>
    <row r="830" spans="1:15" ht="13">
      <c r="A830" s="33">
        <v>43951.077130659723</v>
      </c>
      <c r="B830" s="35" t="s">
        <v>7203</v>
      </c>
      <c r="C830" s="35" t="s">
        <v>7204</v>
      </c>
      <c r="D830" s="35" t="s">
        <v>7205</v>
      </c>
      <c r="E830" s="328" t="s">
        <v>7203</v>
      </c>
      <c r="F830" s="327"/>
      <c r="G830" s="35" t="s">
        <v>32</v>
      </c>
      <c r="H830" s="35" t="s">
        <v>33</v>
      </c>
      <c r="I830" s="328" t="s">
        <v>7206</v>
      </c>
      <c r="J830" s="328" t="s">
        <v>48</v>
      </c>
      <c r="K830" s="328" t="s">
        <v>7207</v>
      </c>
      <c r="L830" s="328" t="s">
        <v>7208</v>
      </c>
      <c r="M830" s="328" t="s">
        <v>83</v>
      </c>
      <c r="N830" s="328" t="s">
        <v>7209</v>
      </c>
      <c r="O830" s="35" t="s">
        <v>26</v>
      </c>
    </row>
    <row r="831" spans="1:15" ht="13">
      <c r="A831" s="33">
        <v>43951.078390405091</v>
      </c>
      <c r="B831" s="35" t="s">
        <v>2369</v>
      </c>
      <c r="C831" s="35" t="s">
        <v>2370</v>
      </c>
      <c r="D831" s="35" t="s">
        <v>2371</v>
      </c>
      <c r="E831" s="328" t="s">
        <v>2372</v>
      </c>
      <c r="F831" s="328" t="s">
        <v>2373</v>
      </c>
      <c r="G831" s="35" t="s">
        <v>2374</v>
      </c>
      <c r="H831" s="35" t="s">
        <v>33</v>
      </c>
      <c r="I831" s="328" t="s">
        <v>2375</v>
      </c>
      <c r="J831" s="328" t="s">
        <v>35</v>
      </c>
      <c r="K831" s="328" t="s">
        <v>2376</v>
      </c>
      <c r="L831" s="328" t="s">
        <v>2377</v>
      </c>
      <c r="M831" s="328" t="s">
        <v>83</v>
      </c>
      <c r="N831" s="327"/>
      <c r="O831" s="35" t="s">
        <v>26</v>
      </c>
    </row>
    <row r="832" spans="1:15" ht="13">
      <c r="A832" s="33">
        <v>43951.134082974539</v>
      </c>
      <c r="B832" s="35" t="s">
        <v>5391</v>
      </c>
      <c r="C832" s="35" t="s">
        <v>5392</v>
      </c>
      <c r="D832" s="35" t="s">
        <v>5063</v>
      </c>
      <c r="E832" s="38" t="s">
        <v>5393</v>
      </c>
      <c r="F832" s="328" t="s">
        <v>5395</v>
      </c>
      <c r="G832" s="35" t="s">
        <v>394</v>
      </c>
      <c r="H832" s="35" t="s">
        <v>33</v>
      </c>
      <c r="I832" s="328" t="s">
        <v>5396</v>
      </c>
      <c r="J832" s="328" t="s">
        <v>35</v>
      </c>
      <c r="K832" s="328" t="s">
        <v>5397</v>
      </c>
      <c r="L832" s="327"/>
      <c r="M832" s="328" t="s">
        <v>83</v>
      </c>
      <c r="N832" s="328" t="s">
        <v>5398</v>
      </c>
      <c r="O832" s="35" t="s">
        <v>26</v>
      </c>
    </row>
    <row r="833" spans="1:15" ht="13">
      <c r="A833" s="33">
        <v>43951.234903807868</v>
      </c>
      <c r="B833" s="328" t="s">
        <v>4694</v>
      </c>
      <c r="C833" s="328" t="s">
        <v>4695</v>
      </c>
      <c r="D833" s="328" t="s">
        <v>2141</v>
      </c>
      <c r="E833" s="38" t="s">
        <v>4696</v>
      </c>
      <c r="F833" s="328" t="s">
        <v>4697</v>
      </c>
      <c r="G833" s="328" t="s">
        <v>3386</v>
      </c>
      <c r="H833" s="328" t="s">
        <v>33</v>
      </c>
      <c r="I833" s="328" t="s">
        <v>4700</v>
      </c>
      <c r="J833" s="328" t="s">
        <v>746</v>
      </c>
      <c r="K833" s="327"/>
      <c r="L833" s="327"/>
      <c r="M833" s="328" t="s">
        <v>83</v>
      </c>
      <c r="N833" s="327"/>
      <c r="O833" s="35" t="s">
        <v>26</v>
      </c>
    </row>
    <row r="834" spans="1:15" ht="13" hidden="1">
      <c r="A834" s="33">
        <v>43951.241123981483</v>
      </c>
      <c r="B834" s="35" t="s">
        <v>7250</v>
      </c>
      <c r="C834" s="35" t="s">
        <v>7251</v>
      </c>
      <c r="D834" s="35" t="s">
        <v>7252</v>
      </c>
      <c r="E834" s="38" t="s">
        <v>7253</v>
      </c>
      <c r="G834" s="35" t="s">
        <v>322</v>
      </c>
      <c r="H834" s="35" t="s">
        <v>506</v>
      </c>
      <c r="I834" s="35" t="s">
        <v>7254</v>
      </c>
      <c r="J834" s="35" t="s">
        <v>48</v>
      </c>
      <c r="K834" s="35" t="s">
        <v>7255</v>
      </c>
      <c r="L834" s="35" t="s">
        <v>7256</v>
      </c>
      <c r="M834" s="35" t="s">
        <v>83</v>
      </c>
      <c r="O834" s="35" t="s">
        <v>26</v>
      </c>
    </row>
    <row r="835" spans="1:15" ht="13" hidden="1">
      <c r="A835" s="33">
        <v>43951.284156805559</v>
      </c>
      <c r="B835" s="35" t="s">
        <v>7257</v>
      </c>
      <c r="C835" s="35" t="s">
        <v>7258</v>
      </c>
      <c r="D835" s="35" t="s">
        <v>7259</v>
      </c>
      <c r="E835" s="38" t="s">
        <v>7260</v>
      </c>
      <c r="G835" s="35" t="s">
        <v>7261</v>
      </c>
      <c r="H835" s="35" t="s">
        <v>506</v>
      </c>
      <c r="I835" s="35" t="s">
        <v>7262</v>
      </c>
      <c r="J835" s="35" t="s">
        <v>48</v>
      </c>
      <c r="M835" s="35" t="s">
        <v>67</v>
      </c>
      <c r="N835" s="35" t="s">
        <v>4082</v>
      </c>
      <c r="O835" s="35" t="s">
        <v>26</v>
      </c>
    </row>
    <row r="836" spans="1:15" ht="13">
      <c r="A836" s="33">
        <v>43951.352727893522</v>
      </c>
      <c r="B836" s="35" t="s">
        <v>1726</v>
      </c>
      <c r="C836" s="35" t="s">
        <v>1727</v>
      </c>
      <c r="D836" s="35" t="s">
        <v>1728</v>
      </c>
      <c r="E836" s="38" t="s">
        <v>1729</v>
      </c>
      <c r="F836" s="328" t="s">
        <v>1730</v>
      </c>
      <c r="G836" s="35" t="s">
        <v>1731</v>
      </c>
      <c r="H836" s="35" t="s">
        <v>33</v>
      </c>
      <c r="I836" s="35" t="s">
        <v>1732</v>
      </c>
      <c r="J836" s="35" t="s">
        <v>104</v>
      </c>
      <c r="M836" s="35" t="s">
        <v>83</v>
      </c>
      <c r="N836" s="328" t="s">
        <v>1733</v>
      </c>
      <c r="O836" s="35" t="s">
        <v>26</v>
      </c>
    </row>
    <row r="837" spans="1:15" ht="13" hidden="1">
      <c r="A837" s="33">
        <v>43951.356844421302</v>
      </c>
      <c r="B837" s="35" t="s">
        <v>7272</v>
      </c>
      <c r="C837" s="35" t="s">
        <v>7273</v>
      </c>
      <c r="D837" s="35" t="s">
        <v>7274</v>
      </c>
      <c r="E837" s="38" t="s">
        <v>7275</v>
      </c>
      <c r="G837" s="35" t="s">
        <v>1381</v>
      </c>
      <c r="H837" s="35" t="s">
        <v>506</v>
      </c>
      <c r="I837" s="35" t="s">
        <v>7277</v>
      </c>
      <c r="J837" s="35" t="s">
        <v>35</v>
      </c>
      <c r="K837" s="35" t="s">
        <v>7278</v>
      </c>
      <c r="L837" s="35" t="s">
        <v>7279</v>
      </c>
      <c r="M837" s="35" t="s">
        <v>83</v>
      </c>
      <c r="O837" s="35" t="s">
        <v>26</v>
      </c>
    </row>
    <row r="838" spans="1:15" ht="13">
      <c r="A838" s="33">
        <v>43951.44022005787</v>
      </c>
      <c r="B838" s="35" t="s">
        <v>6133</v>
      </c>
      <c r="C838" s="35" t="s">
        <v>6134</v>
      </c>
      <c r="D838" s="35" t="s">
        <v>6135</v>
      </c>
      <c r="E838" s="38" t="s">
        <v>6136</v>
      </c>
      <c r="F838" s="328" t="s">
        <v>6137</v>
      </c>
      <c r="G838" s="35" t="s">
        <v>519</v>
      </c>
      <c r="H838" s="35" t="s">
        <v>33</v>
      </c>
      <c r="I838" s="35" t="s">
        <v>521</v>
      </c>
      <c r="J838" s="35" t="s">
        <v>104</v>
      </c>
      <c r="K838" s="328" t="s">
        <v>6138</v>
      </c>
      <c r="M838" s="35" t="s">
        <v>83</v>
      </c>
      <c r="N838" s="327"/>
      <c r="O838" s="35" t="s">
        <v>26</v>
      </c>
    </row>
    <row r="839" spans="1:15" ht="13" hidden="1">
      <c r="A839" s="33">
        <v>43951.448208321759</v>
      </c>
      <c r="B839" s="35" t="s">
        <v>7288</v>
      </c>
      <c r="C839" s="35" t="s">
        <v>7289</v>
      </c>
      <c r="D839" s="35" t="s">
        <v>7290</v>
      </c>
      <c r="E839" s="38" t="s">
        <v>7291</v>
      </c>
      <c r="G839" s="35" t="s">
        <v>7293</v>
      </c>
      <c r="H839" s="35" t="s">
        <v>387</v>
      </c>
      <c r="I839" s="35" t="s">
        <v>255</v>
      </c>
      <c r="J839" s="35" t="s">
        <v>48</v>
      </c>
      <c r="M839" s="35" t="s">
        <v>83</v>
      </c>
      <c r="O839" s="35" t="s">
        <v>26</v>
      </c>
    </row>
    <row r="840" spans="1:15" ht="13" hidden="1">
      <c r="A840" s="33">
        <v>43951.931045868056</v>
      </c>
      <c r="B840" s="35" t="s">
        <v>7297</v>
      </c>
      <c r="C840" s="35" t="s">
        <v>7298</v>
      </c>
      <c r="D840" s="35" t="s">
        <v>7299</v>
      </c>
      <c r="E840" s="38" t="s">
        <v>7301</v>
      </c>
      <c r="G840" s="35" t="s">
        <v>7302</v>
      </c>
      <c r="H840" s="35" t="s">
        <v>46</v>
      </c>
      <c r="I840" s="35" t="s">
        <v>7303</v>
      </c>
      <c r="J840" s="35" t="s">
        <v>104</v>
      </c>
      <c r="K840" s="35" t="s">
        <v>7303</v>
      </c>
      <c r="L840" s="35" t="s">
        <v>7304</v>
      </c>
      <c r="M840" s="35" t="s">
        <v>83</v>
      </c>
      <c r="O840" s="35" t="s">
        <v>26</v>
      </c>
    </row>
    <row r="841" spans="1:15" ht="13">
      <c r="A841" s="33">
        <v>43952.001611956017</v>
      </c>
      <c r="B841" s="35" t="s">
        <v>4386</v>
      </c>
      <c r="C841" s="35" t="s">
        <v>4388</v>
      </c>
      <c r="D841" s="35" t="s">
        <v>4389</v>
      </c>
      <c r="E841" s="38" t="s">
        <v>4390</v>
      </c>
      <c r="F841" s="328" t="s">
        <v>4392</v>
      </c>
      <c r="G841" s="35" t="s">
        <v>739</v>
      </c>
      <c r="H841" s="35" t="s">
        <v>33</v>
      </c>
      <c r="I841" s="35" t="s">
        <v>4393</v>
      </c>
      <c r="J841" s="35" t="s">
        <v>48</v>
      </c>
      <c r="K841" s="328" t="s">
        <v>4394</v>
      </c>
      <c r="L841" s="328" t="s">
        <v>4395</v>
      </c>
      <c r="M841" s="35" t="s">
        <v>83</v>
      </c>
      <c r="N841" s="328" t="s">
        <v>255</v>
      </c>
      <c r="O841" s="35" t="s">
        <v>26</v>
      </c>
    </row>
    <row r="842" spans="1:15" ht="13">
      <c r="A842" s="33">
        <v>43952.002504629629</v>
      </c>
      <c r="B842" s="35" t="s">
        <v>6929</v>
      </c>
      <c r="C842" s="35" t="s">
        <v>6930</v>
      </c>
      <c r="D842" s="35" t="s">
        <v>6931</v>
      </c>
      <c r="E842" s="328" t="s">
        <v>6932</v>
      </c>
      <c r="F842" s="327"/>
      <c r="G842" s="35" t="s">
        <v>394</v>
      </c>
      <c r="H842" s="35" t="s">
        <v>33</v>
      </c>
      <c r="I842" s="35" t="s">
        <v>6932</v>
      </c>
      <c r="J842" s="35" t="s">
        <v>48</v>
      </c>
      <c r="K842" s="328" t="s">
        <v>6933</v>
      </c>
      <c r="L842" s="328" t="s">
        <v>6934</v>
      </c>
      <c r="M842" s="35" t="s">
        <v>83</v>
      </c>
      <c r="N842" s="328" t="s">
        <v>6935</v>
      </c>
      <c r="O842" s="35" t="s">
        <v>26</v>
      </c>
    </row>
    <row r="843" spans="1:15" ht="13" hidden="1">
      <c r="A843" s="33">
        <v>43952.081206516203</v>
      </c>
      <c r="B843" s="35" t="s">
        <v>7315</v>
      </c>
      <c r="C843" s="35" t="s">
        <v>7316</v>
      </c>
      <c r="D843" s="35" t="s">
        <v>7317</v>
      </c>
      <c r="E843" s="38" t="s">
        <v>7318</v>
      </c>
      <c r="G843" s="35" t="s">
        <v>6409</v>
      </c>
      <c r="H843" s="35" t="s">
        <v>46</v>
      </c>
      <c r="I843" s="35" t="s">
        <v>7322</v>
      </c>
      <c r="J843" s="35" t="s">
        <v>48</v>
      </c>
      <c r="K843" s="35" t="s">
        <v>7322</v>
      </c>
      <c r="L843" s="35" t="s">
        <v>7323</v>
      </c>
      <c r="M843" s="35" t="s">
        <v>67</v>
      </c>
      <c r="N843" s="35" t="s">
        <v>92</v>
      </c>
      <c r="O843" s="35" t="s">
        <v>26</v>
      </c>
    </row>
    <row r="844" spans="1:15" ht="13" hidden="1">
      <c r="A844" s="33">
        <v>43952.280052233793</v>
      </c>
      <c r="B844" s="35" t="s">
        <v>7325</v>
      </c>
      <c r="C844" s="35" t="s">
        <v>7326</v>
      </c>
      <c r="D844" s="35" t="s">
        <v>7327</v>
      </c>
      <c r="E844" s="38" t="s">
        <v>7328</v>
      </c>
      <c r="G844" s="35" t="s">
        <v>931</v>
      </c>
      <c r="H844" s="35" t="s">
        <v>126</v>
      </c>
      <c r="I844" s="35" t="s">
        <v>342</v>
      </c>
      <c r="J844" s="35" t="s">
        <v>104</v>
      </c>
      <c r="K844" s="35" t="s">
        <v>7329</v>
      </c>
      <c r="L844" s="35" t="s">
        <v>7331</v>
      </c>
      <c r="M844" s="35" t="s">
        <v>83</v>
      </c>
      <c r="N844" s="35" t="s">
        <v>7332</v>
      </c>
      <c r="O844" s="35" t="s">
        <v>26</v>
      </c>
    </row>
    <row r="845" spans="1:15" ht="13">
      <c r="A845" s="33">
        <v>43952.288945821754</v>
      </c>
      <c r="B845" s="35" t="s">
        <v>4449</v>
      </c>
      <c r="C845" s="35" t="s">
        <v>4450</v>
      </c>
      <c r="D845" s="35" t="s">
        <v>4451</v>
      </c>
      <c r="E845" s="328" t="s">
        <v>4449</v>
      </c>
      <c r="F845" s="328" t="s">
        <v>4452</v>
      </c>
      <c r="G845" s="35" t="s">
        <v>4453</v>
      </c>
      <c r="H845" s="35" t="s">
        <v>33</v>
      </c>
      <c r="I845" s="35" t="s">
        <v>4454</v>
      </c>
      <c r="J845" s="35" t="s">
        <v>48</v>
      </c>
      <c r="K845" s="327"/>
      <c r="L845" s="327"/>
      <c r="M845" s="35" t="s">
        <v>83</v>
      </c>
      <c r="N845" s="327"/>
      <c r="O845" s="35" t="s">
        <v>26</v>
      </c>
    </row>
    <row r="846" spans="1:15" ht="13">
      <c r="A846" s="33">
        <v>43952.484696250001</v>
      </c>
      <c r="B846" s="35" t="s">
        <v>5523</v>
      </c>
      <c r="C846" s="35" t="s">
        <v>5525</v>
      </c>
      <c r="D846" s="328" t="s">
        <v>5527</v>
      </c>
      <c r="E846" s="38" t="s">
        <v>5528</v>
      </c>
      <c r="F846" s="328" t="s">
        <v>5531</v>
      </c>
      <c r="G846" s="35" t="s">
        <v>4453</v>
      </c>
      <c r="H846" s="35" t="s">
        <v>33</v>
      </c>
      <c r="I846" s="35" t="s">
        <v>5532</v>
      </c>
      <c r="J846" s="35" t="s">
        <v>48</v>
      </c>
      <c r="K846" s="327"/>
      <c r="L846" s="327"/>
      <c r="M846" s="35" t="s">
        <v>83</v>
      </c>
      <c r="O846" s="35" t="s">
        <v>26</v>
      </c>
    </row>
    <row r="847" spans="1:15" ht="14">
      <c r="A847" s="33">
        <v>43953.245557499999</v>
      </c>
      <c r="B847" s="313" t="s">
        <v>9310</v>
      </c>
      <c r="C847" s="308" t="s">
        <v>9311</v>
      </c>
      <c r="D847" s="313" t="s">
        <v>87</v>
      </c>
      <c r="E847" s="312" t="s">
        <v>9312</v>
      </c>
      <c r="F847" s="313"/>
      <c r="G847" s="313" t="s">
        <v>63</v>
      </c>
      <c r="H847" s="313" t="s">
        <v>33</v>
      </c>
      <c r="I847" s="313" t="s">
        <v>2959</v>
      </c>
      <c r="J847" s="313"/>
      <c r="K847" s="313"/>
      <c r="L847" s="313"/>
      <c r="M847" s="313"/>
      <c r="N847" s="313"/>
      <c r="O847" s="35" t="s">
        <v>26</v>
      </c>
    </row>
    <row r="848" spans="1:15" ht="13" hidden="1">
      <c r="A848" s="33">
        <v>43953.344280717589</v>
      </c>
      <c r="B848" s="35" t="s">
        <v>7353</v>
      </c>
      <c r="C848" s="35" t="s">
        <v>7354</v>
      </c>
      <c r="D848" s="35" t="s">
        <v>6965</v>
      </c>
      <c r="E848" s="38" t="s">
        <v>7355</v>
      </c>
      <c r="G848" s="35" t="s">
        <v>363</v>
      </c>
      <c r="H848" s="35" t="s">
        <v>46</v>
      </c>
      <c r="I848" s="35" t="s">
        <v>7356</v>
      </c>
      <c r="J848" s="35" t="s">
        <v>746</v>
      </c>
      <c r="M848" s="35" t="s">
        <v>83</v>
      </c>
      <c r="N848" s="35" t="s">
        <v>2049</v>
      </c>
      <c r="O848" s="35" t="s">
        <v>26</v>
      </c>
    </row>
    <row r="849" spans="1:15" ht="13" hidden="1">
      <c r="A849" s="33">
        <v>43953.792311689816</v>
      </c>
      <c r="B849" s="35" t="s">
        <v>7358</v>
      </c>
      <c r="C849" s="35" t="s">
        <v>7359</v>
      </c>
      <c r="D849" s="35" t="s">
        <v>7361</v>
      </c>
      <c r="E849" s="38" t="s">
        <v>7363</v>
      </c>
      <c r="G849" s="35" t="s">
        <v>931</v>
      </c>
      <c r="H849" s="35" t="s">
        <v>46</v>
      </c>
      <c r="I849" s="35" t="s">
        <v>7367</v>
      </c>
      <c r="J849" s="35" t="s">
        <v>35</v>
      </c>
      <c r="K849" s="35" t="s">
        <v>7368</v>
      </c>
      <c r="M849" s="35" t="s">
        <v>67</v>
      </c>
      <c r="N849" s="35" t="s">
        <v>7370</v>
      </c>
      <c r="O849" s="35" t="s">
        <v>26</v>
      </c>
    </row>
    <row r="850" spans="1:15" ht="13">
      <c r="A850" s="33">
        <v>43953.944626481483</v>
      </c>
      <c r="B850" s="35" t="s">
        <v>2971</v>
      </c>
      <c r="C850" s="35" t="s">
        <v>2972</v>
      </c>
      <c r="D850" s="35" t="s">
        <v>2973</v>
      </c>
      <c r="E850" s="38" t="s">
        <v>2974</v>
      </c>
      <c r="F850" s="328" t="s">
        <v>2975</v>
      </c>
      <c r="G850" s="35" t="s">
        <v>322</v>
      </c>
      <c r="H850" s="35" t="s">
        <v>33</v>
      </c>
      <c r="I850" s="35" t="s">
        <v>2976</v>
      </c>
      <c r="J850" s="35" t="s">
        <v>48</v>
      </c>
      <c r="K850" s="328" t="s">
        <v>2977</v>
      </c>
      <c r="L850" s="327"/>
      <c r="M850" s="35" t="s">
        <v>83</v>
      </c>
      <c r="N850" s="328" t="s">
        <v>2978</v>
      </c>
      <c r="O850" s="35" t="s">
        <v>26</v>
      </c>
    </row>
    <row r="851" spans="1:15" ht="13" hidden="1">
      <c r="A851" s="33">
        <v>43954.047415416666</v>
      </c>
      <c r="B851" s="35" t="s">
        <v>7371</v>
      </c>
      <c r="C851" s="35" t="s">
        <v>7372</v>
      </c>
      <c r="D851" s="35" t="s">
        <v>1640</v>
      </c>
      <c r="E851" s="38" t="s">
        <v>7373</v>
      </c>
      <c r="G851" s="35" t="s">
        <v>519</v>
      </c>
      <c r="H851" s="35" t="s">
        <v>7137</v>
      </c>
      <c r="I851" s="35" t="s">
        <v>15</v>
      </c>
      <c r="J851" s="35" t="s">
        <v>48</v>
      </c>
      <c r="K851" s="35" t="s">
        <v>7374</v>
      </c>
      <c r="M851" s="35" t="s">
        <v>83</v>
      </c>
      <c r="O851" s="35" t="s">
        <v>26</v>
      </c>
    </row>
    <row r="852" spans="1:15" ht="13">
      <c r="A852" s="33">
        <v>43954.093062071755</v>
      </c>
      <c r="B852" s="35" t="s">
        <v>8824</v>
      </c>
      <c r="C852" s="35" t="s">
        <v>8825</v>
      </c>
      <c r="D852" s="35" t="s">
        <v>8826</v>
      </c>
      <c r="E852" s="38" t="s">
        <v>8827</v>
      </c>
      <c r="F852" s="327"/>
      <c r="G852" s="35" t="s">
        <v>63</v>
      </c>
      <c r="H852" s="35" t="s">
        <v>33</v>
      </c>
      <c r="I852" s="35" t="s">
        <v>8828</v>
      </c>
      <c r="J852" s="35" t="s">
        <v>48</v>
      </c>
      <c r="K852" s="328" t="s">
        <v>8829</v>
      </c>
      <c r="M852" s="35" t="s">
        <v>67</v>
      </c>
      <c r="O852" s="35" t="s">
        <v>26</v>
      </c>
    </row>
    <row r="853" spans="1:15" ht="13">
      <c r="A853" s="33">
        <v>43954.26106517361</v>
      </c>
      <c r="B853" s="35" t="s">
        <v>4594</v>
      </c>
      <c r="C853" s="35" t="s">
        <v>3254</v>
      </c>
      <c r="D853" s="35" t="s">
        <v>4595</v>
      </c>
      <c r="E853" s="38" t="s">
        <v>4596</v>
      </c>
      <c r="F853" s="328" t="s">
        <v>4597</v>
      </c>
      <c r="G853" s="35" t="s">
        <v>63</v>
      </c>
      <c r="H853" s="35" t="s">
        <v>33</v>
      </c>
      <c r="I853" s="35" t="s">
        <v>4598</v>
      </c>
      <c r="J853" s="35" t="s">
        <v>104</v>
      </c>
      <c r="K853" s="328" t="s">
        <v>4599</v>
      </c>
      <c r="M853" s="35" t="s">
        <v>83</v>
      </c>
      <c r="O853" s="35" t="s">
        <v>26</v>
      </c>
    </row>
    <row r="854" spans="1:15" ht="13" hidden="1">
      <c r="A854" s="33">
        <v>43954.955547638892</v>
      </c>
      <c r="B854" s="35" t="s">
        <v>7386</v>
      </c>
      <c r="C854" s="35" t="s">
        <v>1888</v>
      </c>
      <c r="D854" s="35" t="s">
        <v>7324</v>
      </c>
      <c r="E854" s="38" t="s">
        <v>7387</v>
      </c>
      <c r="G854" s="35" t="s">
        <v>7388</v>
      </c>
      <c r="H854" s="35" t="s">
        <v>46</v>
      </c>
      <c r="I854" s="35" t="s">
        <v>7389</v>
      </c>
      <c r="J854" s="35" t="s">
        <v>35</v>
      </c>
      <c r="K854" s="35" t="s">
        <v>7390</v>
      </c>
      <c r="M854" s="35" t="s">
        <v>83</v>
      </c>
      <c r="N854" s="35" t="s">
        <v>7391</v>
      </c>
      <c r="O854" s="35" t="s">
        <v>26</v>
      </c>
    </row>
    <row r="855" spans="1:15" ht="13">
      <c r="A855" s="33">
        <v>43955.007446574076</v>
      </c>
      <c r="B855" s="35" t="s">
        <v>7194</v>
      </c>
      <c r="C855" s="35" t="s">
        <v>7195</v>
      </c>
      <c r="D855" s="35" t="s">
        <v>7196</v>
      </c>
      <c r="E855" s="38" t="s">
        <v>7197</v>
      </c>
      <c r="F855" s="327"/>
      <c r="G855" s="35" t="s">
        <v>1739</v>
      </c>
      <c r="H855" s="35" t="s">
        <v>33</v>
      </c>
      <c r="I855" s="35" t="s">
        <v>7202</v>
      </c>
      <c r="J855" s="35" t="s">
        <v>48</v>
      </c>
      <c r="K855" s="327"/>
      <c r="L855" s="327"/>
      <c r="M855" s="35" t="s">
        <v>67</v>
      </c>
      <c r="O855" s="35" t="s">
        <v>26</v>
      </c>
    </row>
    <row r="856" spans="1:15" ht="13" hidden="1">
      <c r="A856" s="33">
        <v>43955.213778078702</v>
      </c>
      <c r="B856" s="35" t="s">
        <v>7399</v>
      </c>
      <c r="C856" s="35" t="s">
        <v>1537</v>
      </c>
      <c r="D856" s="35" t="s">
        <v>7400</v>
      </c>
      <c r="E856" s="38" t="s">
        <v>7401</v>
      </c>
      <c r="G856" s="35" t="s">
        <v>7402</v>
      </c>
      <c r="H856" s="35" t="s">
        <v>46</v>
      </c>
      <c r="I856" s="35" t="s">
        <v>7403</v>
      </c>
      <c r="J856" s="35" t="s">
        <v>48</v>
      </c>
      <c r="K856" s="35" t="s">
        <v>7404</v>
      </c>
      <c r="L856" s="35" t="s">
        <v>7405</v>
      </c>
      <c r="M856" s="35" t="s">
        <v>83</v>
      </c>
      <c r="N856" s="35" t="s">
        <v>7406</v>
      </c>
      <c r="O856" s="35" t="s">
        <v>26</v>
      </c>
    </row>
    <row r="857" spans="1:15" ht="13" hidden="1">
      <c r="A857" s="33">
        <v>43955.382730370373</v>
      </c>
      <c r="B857" s="35" t="s">
        <v>7407</v>
      </c>
      <c r="C857" s="35" t="s">
        <v>7408</v>
      </c>
      <c r="D857" s="35" t="s">
        <v>6872</v>
      </c>
      <c r="E857" s="38" t="s">
        <v>7409</v>
      </c>
      <c r="G857" s="35" t="s">
        <v>32</v>
      </c>
      <c r="H857" s="35" t="s">
        <v>126</v>
      </c>
      <c r="I857" s="35" t="s">
        <v>7410</v>
      </c>
      <c r="J857" s="35" t="s">
        <v>104</v>
      </c>
      <c r="M857" s="35" t="s">
        <v>83</v>
      </c>
      <c r="O857" s="35" t="s">
        <v>26</v>
      </c>
    </row>
    <row r="858" spans="1:15" ht="13">
      <c r="A858" s="33">
        <v>43955.921358113425</v>
      </c>
      <c r="B858" s="35" t="s">
        <v>9455</v>
      </c>
      <c r="C858" s="35" t="s">
        <v>7195</v>
      </c>
      <c r="D858" s="35" t="s">
        <v>2380</v>
      </c>
      <c r="E858" s="304" t="s">
        <v>9456</v>
      </c>
      <c r="F858" s="320" t="s">
        <v>9457</v>
      </c>
      <c r="G858" s="35" t="s">
        <v>63</v>
      </c>
      <c r="H858" s="35" t="s">
        <v>33</v>
      </c>
      <c r="I858" s="319" t="s">
        <v>9423</v>
      </c>
      <c r="J858" s="327"/>
      <c r="K858" s="327"/>
      <c r="L858" s="327"/>
      <c r="M858" s="327"/>
      <c r="O858" s="35" t="s">
        <v>26</v>
      </c>
    </row>
    <row r="859" spans="1:15" ht="13">
      <c r="A859" s="33">
        <v>43955.93110199074</v>
      </c>
      <c r="B859" s="35" t="s">
        <v>1786</v>
      </c>
      <c r="C859" s="35" t="s">
        <v>1787</v>
      </c>
      <c r="D859" s="35" t="s">
        <v>1153</v>
      </c>
      <c r="E859" s="38" t="s">
        <v>1788</v>
      </c>
      <c r="F859" s="328" t="s">
        <v>1789</v>
      </c>
      <c r="G859" s="35" t="s">
        <v>1790</v>
      </c>
      <c r="H859" s="35" t="s">
        <v>33</v>
      </c>
      <c r="I859" s="35" t="s">
        <v>1791</v>
      </c>
      <c r="J859" s="35" t="s">
        <v>48</v>
      </c>
      <c r="L859" s="328" t="s">
        <v>1794</v>
      </c>
      <c r="M859" s="35" t="s">
        <v>83</v>
      </c>
      <c r="N859" s="328" t="s">
        <v>1795</v>
      </c>
      <c r="O859" s="35" t="s">
        <v>26</v>
      </c>
    </row>
    <row r="860" spans="1:15" ht="13" hidden="1">
      <c r="A860" s="33">
        <v>43955.944634212967</v>
      </c>
      <c r="B860" s="35" t="s">
        <v>7426</v>
      </c>
      <c r="C860" s="35" t="s">
        <v>2943</v>
      </c>
      <c r="D860" s="35" t="s">
        <v>7427</v>
      </c>
      <c r="E860" s="38" t="s">
        <v>7428</v>
      </c>
      <c r="G860" s="35" t="s">
        <v>4929</v>
      </c>
      <c r="H860" s="35" t="s">
        <v>46</v>
      </c>
      <c r="I860" s="35" t="s">
        <v>7432</v>
      </c>
      <c r="J860" s="35" t="s">
        <v>81</v>
      </c>
      <c r="K860" s="35" t="s">
        <v>7433</v>
      </c>
      <c r="L860" s="35" t="s">
        <v>7434</v>
      </c>
      <c r="M860" s="35" t="s">
        <v>83</v>
      </c>
      <c r="N860" s="35" t="s">
        <v>532</v>
      </c>
      <c r="O860" s="35" t="s">
        <v>26</v>
      </c>
    </row>
    <row r="861" spans="1:15" ht="13" hidden="1">
      <c r="A861" s="33">
        <v>43955.951755092596</v>
      </c>
      <c r="B861" s="35" t="s">
        <v>7435</v>
      </c>
      <c r="C861" s="35" t="s">
        <v>7437</v>
      </c>
      <c r="D861" s="35" t="s">
        <v>7185</v>
      </c>
      <c r="E861" s="38" t="s">
        <v>7439</v>
      </c>
      <c r="G861" s="35" t="s">
        <v>394</v>
      </c>
      <c r="H861" s="35" t="s">
        <v>46</v>
      </c>
      <c r="I861" s="35" t="s">
        <v>7443</v>
      </c>
      <c r="J861" s="35" t="s">
        <v>104</v>
      </c>
      <c r="K861" s="35" t="s">
        <v>7444</v>
      </c>
      <c r="L861" s="35" t="s">
        <v>7445</v>
      </c>
      <c r="M861" s="35" t="s">
        <v>67</v>
      </c>
      <c r="N861" s="35" t="s">
        <v>7446</v>
      </c>
      <c r="O861" s="35" t="s">
        <v>26</v>
      </c>
    </row>
    <row r="862" spans="1:15" ht="13" hidden="1">
      <c r="A862" s="33">
        <v>43956.008551701394</v>
      </c>
      <c r="B862" s="35" t="s">
        <v>7447</v>
      </c>
      <c r="C862" s="35" t="s">
        <v>7448</v>
      </c>
      <c r="D862" s="35" t="s">
        <v>632</v>
      </c>
      <c r="E862" s="38" t="s">
        <v>7451</v>
      </c>
      <c r="G862" s="35" t="s">
        <v>296</v>
      </c>
      <c r="H862" s="35" t="s">
        <v>46</v>
      </c>
      <c r="I862" s="35" t="s">
        <v>7454</v>
      </c>
      <c r="J862" s="35" t="s">
        <v>104</v>
      </c>
      <c r="K862" s="35" t="s">
        <v>7455</v>
      </c>
      <c r="L862" s="35" t="s">
        <v>7456</v>
      </c>
      <c r="M862" s="35" t="s">
        <v>67</v>
      </c>
      <c r="N862" s="35" t="s">
        <v>4551</v>
      </c>
      <c r="O862" s="35" t="s">
        <v>26</v>
      </c>
    </row>
    <row r="863" spans="1:15" ht="13">
      <c r="A863" s="33">
        <v>43956.215758981481</v>
      </c>
      <c r="B863" s="35" t="s">
        <v>5732</v>
      </c>
      <c r="C863" s="35" t="s">
        <v>5733</v>
      </c>
      <c r="D863" s="38" t="s">
        <v>5734</v>
      </c>
      <c r="E863" s="38" t="s">
        <v>5736</v>
      </c>
      <c r="F863" s="328" t="s">
        <v>5740</v>
      </c>
      <c r="G863" s="35" t="s">
        <v>322</v>
      </c>
      <c r="H863" s="35" t="s">
        <v>33</v>
      </c>
      <c r="I863" s="35" t="s">
        <v>5741</v>
      </c>
      <c r="J863" s="35" t="s">
        <v>104</v>
      </c>
      <c r="K863" s="327"/>
      <c r="L863" s="327"/>
      <c r="M863" s="35" t="s">
        <v>67</v>
      </c>
      <c r="N863" s="328" t="s">
        <v>255</v>
      </c>
      <c r="O863" s="35" t="s">
        <v>26</v>
      </c>
    </row>
    <row r="864" spans="1:15" ht="13" hidden="1">
      <c r="A864" s="33">
        <v>43956.278661469907</v>
      </c>
      <c r="B864" s="35" t="s">
        <v>7470</v>
      </c>
      <c r="C864" s="35" t="s">
        <v>7471</v>
      </c>
      <c r="D864" s="35" t="s">
        <v>632</v>
      </c>
      <c r="E864" s="38" t="s">
        <v>7472</v>
      </c>
      <c r="G864" s="35" t="s">
        <v>394</v>
      </c>
      <c r="H864" s="35" t="s">
        <v>46</v>
      </c>
      <c r="I864" s="35" t="s">
        <v>7474</v>
      </c>
      <c r="J864" s="35" t="s">
        <v>81</v>
      </c>
      <c r="M864" s="35" t="s">
        <v>67</v>
      </c>
      <c r="N864" s="35" t="s">
        <v>826</v>
      </c>
      <c r="O864" s="35" t="s">
        <v>26</v>
      </c>
    </row>
    <row r="865" spans="1:15" ht="13" hidden="1">
      <c r="A865" s="33">
        <v>43956.323776921301</v>
      </c>
      <c r="B865" s="35" t="s">
        <v>7475</v>
      </c>
      <c r="C865" s="35" t="s">
        <v>7476</v>
      </c>
      <c r="D865" s="35" t="s">
        <v>632</v>
      </c>
      <c r="E865" s="38" t="s">
        <v>7477</v>
      </c>
      <c r="G865" s="35" t="s">
        <v>63</v>
      </c>
      <c r="H865" s="35" t="s">
        <v>5442</v>
      </c>
      <c r="I865" s="35" t="s">
        <v>7479</v>
      </c>
      <c r="J865" s="35" t="s">
        <v>35</v>
      </c>
      <c r="K865" s="35" t="s">
        <v>7480</v>
      </c>
      <c r="M865" s="35" t="s">
        <v>67</v>
      </c>
      <c r="O865" s="35" t="s">
        <v>26</v>
      </c>
    </row>
    <row r="866" spans="1:15" ht="13" hidden="1">
      <c r="A866" s="33">
        <v>43956.34847837963</v>
      </c>
      <c r="B866" s="35" t="s">
        <v>7481</v>
      </c>
      <c r="C866" s="35" t="s">
        <v>7482</v>
      </c>
      <c r="D866" s="35" t="s">
        <v>7185</v>
      </c>
      <c r="E866" s="38" t="s">
        <v>7483</v>
      </c>
      <c r="G866" s="35" t="s">
        <v>7486</v>
      </c>
      <c r="H866" s="35" t="s">
        <v>46</v>
      </c>
      <c r="I866" s="35" t="s">
        <v>7488</v>
      </c>
      <c r="J866" s="35" t="s">
        <v>104</v>
      </c>
      <c r="K866" s="35" t="s">
        <v>7490</v>
      </c>
      <c r="L866" s="35" t="s">
        <v>7491</v>
      </c>
      <c r="M866" s="35" t="s">
        <v>83</v>
      </c>
      <c r="N866" s="35" t="s">
        <v>68</v>
      </c>
      <c r="O866" s="35" t="s">
        <v>26</v>
      </c>
    </row>
    <row r="867" spans="1:15" ht="13" hidden="1">
      <c r="A867" s="33">
        <v>43956.746908923611</v>
      </c>
      <c r="B867" s="35" t="s">
        <v>7492</v>
      </c>
      <c r="C867" s="35" t="s">
        <v>7493</v>
      </c>
      <c r="D867" s="35" t="s">
        <v>7494</v>
      </c>
      <c r="E867" s="38" t="s">
        <v>7495</v>
      </c>
      <c r="G867" s="35" t="s">
        <v>63</v>
      </c>
      <c r="H867" s="35" t="s">
        <v>506</v>
      </c>
      <c r="I867" s="35" t="s">
        <v>7498</v>
      </c>
      <c r="J867" s="35" t="s">
        <v>81</v>
      </c>
      <c r="M867" s="35" t="s">
        <v>83</v>
      </c>
      <c r="N867" s="35" t="s">
        <v>7499</v>
      </c>
      <c r="O867" s="35" t="s">
        <v>26</v>
      </c>
    </row>
    <row r="868" spans="1:15" ht="13" hidden="1">
      <c r="A868" s="33">
        <v>43956.808501967593</v>
      </c>
      <c r="B868" s="35" t="s">
        <v>7500</v>
      </c>
      <c r="C868" s="35" t="s">
        <v>7501</v>
      </c>
      <c r="D868" s="35" t="s">
        <v>7502</v>
      </c>
      <c r="E868" s="38" t="s">
        <v>7503</v>
      </c>
      <c r="G868" s="35" t="s">
        <v>1185</v>
      </c>
      <c r="H868" s="35" t="s">
        <v>46</v>
      </c>
      <c r="I868" s="35" t="s">
        <v>7505</v>
      </c>
      <c r="J868" s="35" t="s">
        <v>35</v>
      </c>
      <c r="M868" s="35" t="s">
        <v>67</v>
      </c>
      <c r="N868" s="35" t="s">
        <v>68</v>
      </c>
      <c r="O868" s="35" t="s">
        <v>26</v>
      </c>
    </row>
    <row r="869" spans="1:15" ht="13" hidden="1">
      <c r="A869" s="33">
        <v>43956.942229502311</v>
      </c>
      <c r="B869" s="35" t="s">
        <v>7506</v>
      </c>
      <c r="C869" s="35" t="s">
        <v>7507</v>
      </c>
      <c r="D869" s="35" t="s">
        <v>7276</v>
      </c>
      <c r="E869" s="35" t="s">
        <v>7508</v>
      </c>
      <c r="G869" s="35" t="s">
        <v>709</v>
      </c>
      <c r="H869" s="35" t="s">
        <v>506</v>
      </c>
      <c r="I869" s="35" t="s">
        <v>7509</v>
      </c>
      <c r="J869" s="35" t="s">
        <v>104</v>
      </c>
      <c r="M869" s="35" t="s">
        <v>83</v>
      </c>
      <c r="O869" s="35" t="s">
        <v>26</v>
      </c>
    </row>
    <row r="870" spans="1:15" ht="13">
      <c r="A870" s="33">
        <v>43956.961836956019</v>
      </c>
      <c r="B870" s="35" t="s">
        <v>5732</v>
      </c>
      <c r="C870" s="35" t="s">
        <v>5733</v>
      </c>
      <c r="D870" s="38" t="s">
        <v>5734</v>
      </c>
      <c r="E870" s="38" t="s">
        <v>5736</v>
      </c>
      <c r="F870" s="328" t="s">
        <v>5740</v>
      </c>
      <c r="G870" s="35" t="s">
        <v>322</v>
      </c>
      <c r="H870" s="35" t="s">
        <v>33</v>
      </c>
      <c r="I870" s="35" t="s">
        <v>5741</v>
      </c>
      <c r="J870" s="35" t="s">
        <v>104</v>
      </c>
      <c r="K870" s="327"/>
      <c r="L870" s="327"/>
      <c r="M870" s="35" t="s">
        <v>67</v>
      </c>
      <c r="N870" s="328" t="s">
        <v>255</v>
      </c>
      <c r="O870" s="35" t="s">
        <v>26</v>
      </c>
    </row>
    <row r="871" spans="1:15" ht="13" hidden="1">
      <c r="A871" s="33">
        <v>43957.030541388885</v>
      </c>
      <c r="B871" s="35" t="s">
        <v>7513</v>
      </c>
      <c r="C871" s="35" t="s">
        <v>7514</v>
      </c>
      <c r="D871" s="35" t="s">
        <v>3170</v>
      </c>
      <c r="E871" s="38" t="s">
        <v>7515</v>
      </c>
      <c r="G871" s="35" t="s">
        <v>214</v>
      </c>
      <c r="H871" s="35" t="s">
        <v>46</v>
      </c>
      <c r="I871" s="35" t="s">
        <v>7519</v>
      </c>
      <c r="J871" s="35" t="s">
        <v>35</v>
      </c>
      <c r="M871" s="35" t="s">
        <v>67</v>
      </c>
      <c r="N871" s="35" t="s">
        <v>7520</v>
      </c>
      <c r="O871" s="35" t="s">
        <v>26</v>
      </c>
    </row>
    <row r="872" spans="1:15" ht="13" hidden="1">
      <c r="A872" s="33">
        <v>43957.055676030097</v>
      </c>
      <c r="B872" s="35" t="s">
        <v>7521</v>
      </c>
      <c r="C872" s="35" t="s">
        <v>7522</v>
      </c>
      <c r="D872" s="35" t="s">
        <v>7523</v>
      </c>
      <c r="E872" s="38" t="s">
        <v>7524</v>
      </c>
      <c r="G872" s="35" t="s">
        <v>671</v>
      </c>
      <c r="H872" s="35" t="s">
        <v>46</v>
      </c>
      <c r="I872" s="35" t="s">
        <v>662</v>
      </c>
      <c r="J872" s="35" t="s">
        <v>48</v>
      </c>
      <c r="M872" s="35" t="s">
        <v>67</v>
      </c>
      <c r="N872" s="35" t="s">
        <v>581</v>
      </c>
      <c r="O872" s="35" t="s">
        <v>26</v>
      </c>
    </row>
    <row r="873" spans="1:15" ht="13" hidden="1">
      <c r="A873" s="33">
        <v>43957.05756533565</v>
      </c>
      <c r="B873" s="35" t="s">
        <v>7527</v>
      </c>
      <c r="C873" s="35" t="s">
        <v>7528</v>
      </c>
      <c r="D873" s="35" t="s">
        <v>7529</v>
      </c>
      <c r="E873" s="38" t="s">
        <v>7530</v>
      </c>
      <c r="G873" s="35" t="s">
        <v>1633</v>
      </c>
      <c r="H873" s="35" t="s">
        <v>506</v>
      </c>
      <c r="I873" s="35" t="s">
        <v>7532</v>
      </c>
      <c r="J873" s="35" t="s">
        <v>48</v>
      </c>
      <c r="K873" s="35" t="s">
        <v>7535</v>
      </c>
      <c r="M873" s="35" t="s">
        <v>83</v>
      </c>
      <c r="O873" s="35" t="s">
        <v>26</v>
      </c>
    </row>
    <row r="874" spans="1:15" ht="13" hidden="1">
      <c r="A874" s="33">
        <v>43957.162166331022</v>
      </c>
      <c r="B874" s="35" t="s">
        <v>7536</v>
      </c>
      <c r="C874" s="35" t="s">
        <v>7538</v>
      </c>
      <c r="D874" s="35" t="s">
        <v>7539</v>
      </c>
      <c r="E874" s="38" t="s">
        <v>7540</v>
      </c>
      <c r="G874" s="35" t="s">
        <v>394</v>
      </c>
      <c r="H874" s="35" t="s">
        <v>46</v>
      </c>
      <c r="I874" s="35" t="s">
        <v>7541</v>
      </c>
      <c r="J874" s="35" t="s">
        <v>48</v>
      </c>
      <c r="M874" s="35" t="s">
        <v>67</v>
      </c>
      <c r="N874" s="35" t="s">
        <v>7542</v>
      </c>
      <c r="O874" s="35" t="s">
        <v>26</v>
      </c>
    </row>
    <row r="875" spans="1:15" ht="14">
      <c r="A875" s="33">
        <v>43957.319292824075</v>
      </c>
      <c r="B875" s="313" t="s">
        <v>9236</v>
      </c>
      <c r="C875" s="308" t="s">
        <v>5733</v>
      </c>
      <c r="D875" s="313" t="s">
        <v>87</v>
      </c>
      <c r="E875" s="312" t="s">
        <v>9237</v>
      </c>
      <c r="F875" s="313"/>
      <c r="G875" s="313" t="s">
        <v>63</v>
      </c>
      <c r="H875" s="313" t="s">
        <v>33</v>
      </c>
      <c r="I875" s="313" t="s">
        <v>2959</v>
      </c>
      <c r="J875" s="313"/>
      <c r="K875" s="313"/>
      <c r="L875" s="313"/>
      <c r="M875" s="313"/>
      <c r="N875" s="313"/>
      <c r="O875" s="35" t="s">
        <v>26</v>
      </c>
    </row>
    <row r="876" spans="1:15" ht="13">
      <c r="A876" s="33">
        <v>43957.870930324076</v>
      </c>
      <c r="B876" s="35" t="s">
        <v>3845</v>
      </c>
      <c r="C876" s="35" t="s">
        <v>3846</v>
      </c>
      <c r="D876" s="328" t="s">
        <v>2380</v>
      </c>
      <c r="E876" s="38" t="s">
        <v>3847</v>
      </c>
      <c r="F876" s="328" t="s">
        <v>3851</v>
      </c>
      <c r="G876" s="35" t="s">
        <v>709</v>
      </c>
      <c r="H876" s="35" t="s">
        <v>33</v>
      </c>
      <c r="I876" s="35" t="s">
        <v>3852</v>
      </c>
      <c r="J876" s="35" t="s">
        <v>48</v>
      </c>
      <c r="M876" s="35" t="s">
        <v>83</v>
      </c>
      <c r="O876" s="35" t="s">
        <v>26</v>
      </c>
    </row>
    <row r="877" spans="1:15" ht="13" hidden="1">
      <c r="A877" s="33">
        <v>43958.012282592594</v>
      </c>
      <c r="B877" s="35" t="s">
        <v>7561</v>
      </c>
      <c r="C877" s="35" t="s">
        <v>7562</v>
      </c>
      <c r="D877" s="35" t="s">
        <v>7563</v>
      </c>
      <c r="E877" s="38" t="s">
        <v>7565</v>
      </c>
      <c r="G877" s="35" t="s">
        <v>802</v>
      </c>
      <c r="H877" s="35" t="s">
        <v>46</v>
      </c>
      <c r="I877" s="35" t="s">
        <v>15</v>
      </c>
      <c r="J877" s="35" t="s">
        <v>35</v>
      </c>
      <c r="K877" s="35" t="s">
        <v>7568</v>
      </c>
      <c r="M877" s="35" t="s">
        <v>67</v>
      </c>
      <c r="N877" s="35" t="s">
        <v>672</v>
      </c>
      <c r="O877" s="35" t="s">
        <v>26</v>
      </c>
    </row>
    <row r="878" spans="1:15" ht="13" hidden="1">
      <c r="A878" s="33">
        <v>43958.899482789348</v>
      </c>
      <c r="B878" s="35" t="s">
        <v>7570</v>
      </c>
      <c r="C878" s="35" t="s">
        <v>7571</v>
      </c>
      <c r="D878" s="35" t="s">
        <v>6378</v>
      </c>
      <c r="E878" s="38" t="s">
        <v>7572</v>
      </c>
      <c r="G878" s="35" t="s">
        <v>394</v>
      </c>
      <c r="H878" s="35" t="s">
        <v>46</v>
      </c>
      <c r="I878" s="35" t="s">
        <v>6378</v>
      </c>
      <c r="J878" s="35" t="s">
        <v>81</v>
      </c>
      <c r="M878" s="35" t="s">
        <v>83</v>
      </c>
      <c r="O878" s="35" t="s">
        <v>26</v>
      </c>
    </row>
    <row r="879" spans="1:15" ht="13" hidden="1">
      <c r="A879" s="33">
        <v>43958.902998263889</v>
      </c>
      <c r="B879" s="35" t="s">
        <v>7573</v>
      </c>
      <c r="C879" s="35" t="s">
        <v>7574</v>
      </c>
      <c r="D879" s="35" t="s">
        <v>6378</v>
      </c>
      <c r="E879" s="38" t="s">
        <v>7575</v>
      </c>
      <c r="G879" s="35" t="s">
        <v>1337</v>
      </c>
      <c r="H879" s="35" t="s">
        <v>46</v>
      </c>
      <c r="I879" s="35" t="s">
        <v>7579</v>
      </c>
      <c r="J879" s="35" t="s">
        <v>104</v>
      </c>
      <c r="K879" s="35" t="s">
        <v>7580</v>
      </c>
      <c r="M879" s="35" t="s">
        <v>67</v>
      </c>
      <c r="N879" s="35" t="s">
        <v>7581</v>
      </c>
      <c r="O879" s="35" t="s">
        <v>26</v>
      </c>
    </row>
    <row r="880" spans="1:15" ht="13" hidden="1">
      <c r="A880" s="33">
        <v>43958.904093437501</v>
      </c>
      <c r="B880" s="35" t="s">
        <v>3644</v>
      </c>
      <c r="C880" s="35" t="s">
        <v>2246</v>
      </c>
      <c r="D880" s="35" t="s">
        <v>6378</v>
      </c>
      <c r="E880" s="38" t="s">
        <v>7583</v>
      </c>
      <c r="G880" s="35" t="s">
        <v>3867</v>
      </c>
      <c r="H880" s="35" t="s">
        <v>46</v>
      </c>
      <c r="I880" s="35" t="s">
        <v>7584</v>
      </c>
      <c r="J880" s="35" t="s">
        <v>48</v>
      </c>
      <c r="M880" s="35" t="s">
        <v>83</v>
      </c>
      <c r="O880" s="35" t="s">
        <v>26</v>
      </c>
    </row>
    <row r="881" spans="1:15" ht="13" hidden="1">
      <c r="A881" s="33">
        <v>43958.915362638887</v>
      </c>
      <c r="B881" s="35" t="s">
        <v>7586</v>
      </c>
      <c r="C881" s="35" t="s">
        <v>7587</v>
      </c>
      <c r="D881" s="35" t="s">
        <v>6378</v>
      </c>
      <c r="E881" s="38" t="s">
        <v>7588</v>
      </c>
      <c r="G881" s="35" t="s">
        <v>296</v>
      </c>
      <c r="H881" s="35" t="s">
        <v>46</v>
      </c>
      <c r="I881" s="35" t="s">
        <v>7595</v>
      </c>
      <c r="J881" s="35" t="s">
        <v>48</v>
      </c>
      <c r="K881" s="35" t="s">
        <v>7596</v>
      </c>
      <c r="M881" s="35" t="s">
        <v>67</v>
      </c>
      <c r="N881" s="35" t="s">
        <v>2019</v>
      </c>
      <c r="O881" s="35" t="s">
        <v>26</v>
      </c>
    </row>
    <row r="882" spans="1:15" ht="13" hidden="1">
      <c r="A882" s="33">
        <v>43958.933551134258</v>
      </c>
      <c r="B882" s="35" t="s">
        <v>7597</v>
      </c>
      <c r="C882" s="35" t="s">
        <v>7598</v>
      </c>
      <c r="D882" s="35" t="s">
        <v>6378</v>
      </c>
      <c r="E882" s="38" t="s">
        <v>7599</v>
      </c>
      <c r="G882" s="35" t="s">
        <v>394</v>
      </c>
      <c r="H882" s="35" t="s">
        <v>46</v>
      </c>
      <c r="I882" s="35" t="s">
        <v>7601</v>
      </c>
      <c r="J882" s="35" t="s">
        <v>48</v>
      </c>
      <c r="K882" s="35" t="s">
        <v>7602</v>
      </c>
      <c r="L882" s="35" t="s">
        <v>7603</v>
      </c>
      <c r="M882" s="35" t="s">
        <v>83</v>
      </c>
      <c r="N882" s="35" t="s">
        <v>581</v>
      </c>
      <c r="O882" s="35" t="s">
        <v>26</v>
      </c>
    </row>
    <row r="883" spans="1:15" ht="13" hidden="1">
      <c r="A883" s="33">
        <v>43958.960533738427</v>
      </c>
      <c r="B883" s="35" t="s">
        <v>7604</v>
      </c>
      <c r="C883" s="35" t="s">
        <v>7605</v>
      </c>
      <c r="D883" s="35" t="s">
        <v>7584</v>
      </c>
      <c r="E883" s="38" t="s">
        <v>7607</v>
      </c>
      <c r="G883" s="35" t="s">
        <v>1337</v>
      </c>
      <c r="H883" s="35" t="s">
        <v>46</v>
      </c>
      <c r="I883" s="35" t="s">
        <v>7613</v>
      </c>
      <c r="J883" s="35" t="s">
        <v>104</v>
      </c>
      <c r="K883" s="35" t="s">
        <v>7614</v>
      </c>
      <c r="L883" s="35" t="s">
        <v>7615</v>
      </c>
      <c r="M883" s="35" t="s">
        <v>83</v>
      </c>
      <c r="N883" s="35" t="s">
        <v>7616</v>
      </c>
      <c r="O883" s="35" t="s">
        <v>26</v>
      </c>
    </row>
    <row r="884" spans="1:15" ht="13" hidden="1">
      <c r="A884" s="33">
        <v>43959.067460497681</v>
      </c>
      <c r="B884" s="35" t="s">
        <v>7620</v>
      </c>
      <c r="C884" s="35" t="s">
        <v>7622</v>
      </c>
      <c r="D884" s="35" t="s">
        <v>6378</v>
      </c>
      <c r="E884" s="38" t="s">
        <v>7623</v>
      </c>
      <c r="G884" s="35" t="s">
        <v>296</v>
      </c>
      <c r="H884" s="35" t="s">
        <v>46</v>
      </c>
      <c r="I884" s="35" t="s">
        <v>7626</v>
      </c>
      <c r="J884" s="35" t="s">
        <v>48</v>
      </c>
      <c r="M884" s="35" t="s">
        <v>67</v>
      </c>
      <c r="O884" s="35" t="s">
        <v>26</v>
      </c>
    </row>
    <row r="885" spans="1:15" ht="13" hidden="1">
      <c r="A885" s="33">
        <v>43959.070599918981</v>
      </c>
      <c r="B885" s="35" t="s">
        <v>7628</v>
      </c>
      <c r="C885" s="35" t="s">
        <v>7629</v>
      </c>
      <c r="D885" s="35" t="s">
        <v>6378</v>
      </c>
      <c r="E885" s="38" t="s">
        <v>7630</v>
      </c>
      <c r="G885" s="35" t="s">
        <v>296</v>
      </c>
      <c r="H885" s="35" t="s">
        <v>46</v>
      </c>
      <c r="I885" s="35" t="s">
        <v>7635</v>
      </c>
      <c r="J885" s="35" t="s">
        <v>48</v>
      </c>
      <c r="K885" s="35" t="s">
        <v>7620</v>
      </c>
      <c r="L885" s="35" t="s">
        <v>7636</v>
      </c>
      <c r="M885" s="35" t="s">
        <v>83</v>
      </c>
      <c r="O885" s="35" t="s">
        <v>26</v>
      </c>
    </row>
    <row r="886" spans="1:15" ht="13" hidden="1">
      <c r="A886" s="33">
        <v>43959.174401979166</v>
      </c>
      <c r="B886" s="35" t="s">
        <v>7637</v>
      </c>
      <c r="C886" s="35" t="s">
        <v>7638</v>
      </c>
      <c r="D886" s="35" t="s">
        <v>6378</v>
      </c>
      <c r="E886" s="38" t="s">
        <v>7639</v>
      </c>
      <c r="G886" s="35" t="s">
        <v>363</v>
      </c>
      <c r="H886" s="35" t="s">
        <v>46</v>
      </c>
      <c r="I886" s="35" t="s">
        <v>7641</v>
      </c>
      <c r="J886" s="35" t="s">
        <v>48</v>
      </c>
      <c r="K886" s="35" t="s">
        <v>7643</v>
      </c>
      <c r="M886" s="35" t="s">
        <v>83</v>
      </c>
      <c r="O886" s="35" t="s">
        <v>26</v>
      </c>
    </row>
    <row r="887" spans="1:15" ht="13" hidden="1">
      <c r="A887" s="33">
        <v>43959.300863518518</v>
      </c>
      <c r="B887" s="35" t="s">
        <v>7646</v>
      </c>
      <c r="C887" s="35" t="s">
        <v>7647</v>
      </c>
      <c r="D887" s="35" t="s">
        <v>6378</v>
      </c>
      <c r="E887" s="38" t="s">
        <v>7648</v>
      </c>
      <c r="G887" s="35" t="s">
        <v>363</v>
      </c>
      <c r="H887" s="35" t="s">
        <v>126</v>
      </c>
      <c r="I887" s="35" t="s">
        <v>7651</v>
      </c>
      <c r="J887" s="35" t="s">
        <v>48</v>
      </c>
      <c r="K887" s="35" t="s">
        <v>7652</v>
      </c>
      <c r="L887" s="35" t="s">
        <v>7653</v>
      </c>
      <c r="M887" s="35" t="s">
        <v>83</v>
      </c>
      <c r="N887" s="35" t="s">
        <v>7654</v>
      </c>
      <c r="O887" s="35" t="s">
        <v>26</v>
      </c>
    </row>
    <row r="888" spans="1:15" ht="13" hidden="1">
      <c r="A888" s="33">
        <v>43959.330019756948</v>
      </c>
      <c r="B888" s="35" t="s">
        <v>7657</v>
      </c>
      <c r="C888" s="35" t="s">
        <v>1475</v>
      </c>
      <c r="D888" s="35" t="s">
        <v>7658</v>
      </c>
      <c r="E888" s="38" t="s">
        <v>7659</v>
      </c>
      <c r="G888" s="35" t="s">
        <v>5458</v>
      </c>
      <c r="H888" s="35" t="s">
        <v>46</v>
      </c>
      <c r="I888" s="35" t="s">
        <v>7660</v>
      </c>
      <c r="J888" s="35" t="s">
        <v>81</v>
      </c>
      <c r="K888" s="35" t="s">
        <v>7661</v>
      </c>
      <c r="M888" s="35" t="s">
        <v>83</v>
      </c>
      <c r="N888" s="35" t="s">
        <v>2019</v>
      </c>
      <c r="O888" s="35" t="s">
        <v>26</v>
      </c>
    </row>
    <row r="889" spans="1:15" ht="13" hidden="1">
      <c r="A889" s="33">
        <v>43959.854456851856</v>
      </c>
      <c r="B889" s="35" t="s">
        <v>7662</v>
      </c>
      <c r="C889" s="35" t="s">
        <v>7663</v>
      </c>
      <c r="D889" s="35" t="s">
        <v>6378</v>
      </c>
      <c r="E889" s="38" t="s">
        <v>7664</v>
      </c>
      <c r="G889" s="35" t="s">
        <v>296</v>
      </c>
      <c r="H889" s="35" t="s">
        <v>46</v>
      </c>
      <c r="I889" s="35" t="s">
        <v>7670</v>
      </c>
      <c r="J889" s="35" t="s">
        <v>48</v>
      </c>
      <c r="M889" s="35" t="s">
        <v>83</v>
      </c>
      <c r="O889" s="35" t="s">
        <v>26</v>
      </c>
    </row>
    <row r="890" spans="1:15" ht="13" hidden="1">
      <c r="A890" s="33">
        <v>43959.919901527777</v>
      </c>
      <c r="B890" s="35" t="s">
        <v>7672</v>
      </c>
      <c r="C890" s="35" t="s">
        <v>560</v>
      </c>
      <c r="D890" s="35" t="s">
        <v>7673</v>
      </c>
      <c r="E890" s="38" t="s">
        <v>7674</v>
      </c>
      <c r="G890" s="35" t="s">
        <v>214</v>
      </c>
      <c r="H890" s="35" t="s">
        <v>46</v>
      </c>
      <c r="I890" s="35" t="s">
        <v>7675</v>
      </c>
      <c r="J890" s="35" t="s">
        <v>35</v>
      </c>
      <c r="K890" s="35" t="s">
        <v>7676</v>
      </c>
      <c r="L890" s="35" t="s">
        <v>7677</v>
      </c>
      <c r="M890" s="35" t="s">
        <v>83</v>
      </c>
      <c r="N890" s="35" t="s">
        <v>7678</v>
      </c>
      <c r="O890" s="35" t="s">
        <v>26</v>
      </c>
    </row>
    <row r="891" spans="1:15" ht="13" hidden="1">
      <c r="A891" s="33">
        <v>43959.94800665509</v>
      </c>
      <c r="B891" s="35" t="s">
        <v>7679</v>
      </c>
      <c r="C891" s="35" t="s">
        <v>7680</v>
      </c>
      <c r="D891" s="35" t="s">
        <v>7681</v>
      </c>
      <c r="E891" s="38" t="s">
        <v>7682</v>
      </c>
      <c r="G891" s="35" t="s">
        <v>398</v>
      </c>
      <c r="H891" s="35" t="s">
        <v>46</v>
      </c>
      <c r="I891" s="35" t="s">
        <v>7684</v>
      </c>
      <c r="J891" s="35" t="s">
        <v>48</v>
      </c>
      <c r="K891" s="35" t="s">
        <v>7684</v>
      </c>
      <c r="M891" s="35" t="s">
        <v>83</v>
      </c>
      <c r="N891" s="35" t="s">
        <v>92</v>
      </c>
      <c r="O891" s="35" t="s">
        <v>26</v>
      </c>
    </row>
    <row r="892" spans="1:15" ht="13" hidden="1">
      <c r="A892" s="33">
        <v>43960.036899270832</v>
      </c>
      <c r="B892" s="35" t="s">
        <v>7688</v>
      </c>
      <c r="C892" s="35" t="s">
        <v>7689</v>
      </c>
      <c r="D892" s="35" t="s">
        <v>7690</v>
      </c>
      <c r="E892" s="38" t="s">
        <v>7691</v>
      </c>
      <c r="G892" s="35" t="s">
        <v>4453</v>
      </c>
      <c r="H892" s="35" t="s">
        <v>46</v>
      </c>
      <c r="I892" s="35" t="s">
        <v>643</v>
      </c>
      <c r="J892" s="35" t="s">
        <v>104</v>
      </c>
      <c r="K892" s="35" t="s">
        <v>7693</v>
      </c>
      <c r="L892" s="35" t="s">
        <v>7694</v>
      </c>
      <c r="M892" s="35" t="s">
        <v>83</v>
      </c>
      <c r="N892" s="35" t="s">
        <v>7695</v>
      </c>
      <c r="O892" s="35" t="s">
        <v>26</v>
      </c>
    </row>
    <row r="893" spans="1:15" ht="13" hidden="1">
      <c r="A893" s="33">
        <v>43960.109983252318</v>
      </c>
      <c r="B893" s="35" t="s">
        <v>7696</v>
      </c>
      <c r="C893" s="35" t="s">
        <v>560</v>
      </c>
      <c r="D893" s="35" t="s">
        <v>6550</v>
      </c>
      <c r="E893" s="38" t="s">
        <v>7697</v>
      </c>
      <c r="G893" s="35" t="s">
        <v>6366</v>
      </c>
      <c r="H893" s="35" t="s">
        <v>46</v>
      </c>
      <c r="I893" s="35" t="s">
        <v>7698</v>
      </c>
      <c r="J893" s="35" t="s">
        <v>81</v>
      </c>
      <c r="K893" s="35" t="s">
        <v>7699</v>
      </c>
      <c r="L893" s="35" t="s">
        <v>7700</v>
      </c>
      <c r="M893" s="35" t="s">
        <v>67</v>
      </c>
      <c r="N893" s="35" t="s">
        <v>7701</v>
      </c>
      <c r="O893" s="35" t="s">
        <v>26</v>
      </c>
    </row>
    <row r="894" spans="1:15" ht="13">
      <c r="A894" s="33">
        <v>43960.195885937501</v>
      </c>
      <c r="B894" s="35" t="s">
        <v>4028</v>
      </c>
      <c r="C894" s="35" t="s">
        <v>4030</v>
      </c>
      <c r="D894" s="35" t="s">
        <v>1153</v>
      </c>
      <c r="E894" s="328" t="s">
        <v>4028</v>
      </c>
      <c r="F894" s="328" t="s">
        <v>4032</v>
      </c>
      <c r="G894" s="35" t="s">
        <v>63</v>
      </c>
      <c r="H894" s="35" t="s">
        <v>33</v>
      </c>
      <c r="I894" s="35" t="s">
        <v>4034</v>
      </c>
      <c r="J894" s="35" t="s">
        <v>35</v>
      </c>
      <c r="K894" s="35" t="s">
        <v>4035</v>
      </c>
      <c r="L894" s="328" t="s">
        <v>4036</v>
      </c>
      <c r="M894" s="35" t="s">
        <v>83</v>
      </c>
      <c r="O894" s="35" t="s">
        <v>26</v>
      </c>
    </row>
    <row r="895" spans="1:15" ht="13">
      <c r="A895" s="33">
        <v>43960.825262013888</v>
      </c>
      <c r="B895" s="35" t="s">
        <v>1741</v>
      </c>
      <c r="C895" s="35" t="s">
        <v>1742</v>
      </c>
      <c r="D895" s="35" t="s">
        <v>1743</v>
      </c>
      <c r="E895" s="38" t="s">
        <v>1744</v>
      </c>
      <c r="F895" s="328" t="s">
        <v>1746</v>
      </c>
      <c r="G895" s="35" t="s">
        <v>1615</v>
      </c>
      <c r="H895" s="35" t="s">
        <v>33</v>
      </c>
      <c r="I895" s="328" t="s">
        <v>1749</v>
      </c>
      <c r="J895" s="328" t="s">
        <v>35</v>
      </c>
      <c r="M895" s="328" t="s">
        <v>67</v>
      </c>
      <c r="N895" s="327"/>
      <c r="O895" s="35" t="s">
        <v>26</v>
      </c>
    </row>
    <row r="896" spans="1:15" ht="13">
      <c r="A896" s="33">
        <v>43961.144673564813</v>
      </c>
      <c r="B896" s="35" t="s">
        <v>5349</v>
      </c>
      <c r="C896" s="35" t="s">
        <v>5350</v>
      </c>
      <c r="D896" s="35" t="s">
        <v>5351</v>
      </c>
      <c r="E896" s="38" t="s">
        <v>5352</v>
      </c>
      <c r="F896" s="328" t="s">
        <v>5356</v>
      </c>
      <c r="G896" s="35" t="s">
        <v>63</v>
      </c>
      <c r="H896" s="35" t="s">
        <v>33</v>
      </c>
      <c r="I896" s="35" t="s">
        <v>5357</v>
      </c>
      <c r="J896" s="35" t="s">
        <v>35</v>
      </c>
      <c r="K896" s="328" t="s">
        <v>5357</v>
      </c>
      <c r="L896" s="328" t="s">
        <v>5358</v>
      </c>
      <c r="M896" s="35" t="s">
        <v>67</v>
      </c>
      <c r="N896" s="327"/>
      <c r="O896" s="35" t="s">
        <v>26</v>
      </c>
    </row>
    <row r="897" spans="1:15" ht="13" hidden="1">
      <c r="A897" s="33">
        <v>43961.851963124995</v>
      </c>
      <c r="B897" s="35" t="s">
        <v>7721</v>
      </c>
      <c r="C897" s="35" t="s">
        <v>7722</v>
      </c>
      <c r="D897" s="35" t="s">
        <v>6378</v>
      </c>
      <c r="E897" s="38" t="s">
        <v>7723</v>
      </c>
      <c r="G897" s="35" t="s">
        <v>3259</v>
      </c>
      <c r="H897" s="35" t="s">
        <v>46</v>
      </c>
      <c r="I897" s="35" t="s">
        <v>7728</v>
      </c>
      <c r="J897" s="35" t="s">
        <v>48</v>
      </c>
      <c r="K897" s="35" t="s">
        <v>7729</v>
      </c>
      <c r="L897" s="35" t="s">
        <v>7730</v>
      </c>
      <c r="M897" s="35" t="s">
        <v>67</v>
      </c>
      <c r="N897" s="35" t="s">
        <v>7731</v>
      </c>
      <c r="O897" s="35" t="s">
        <v>26</v>
      </c>
    </row>
    <row r="898" spans="1:15" ht="13">
      <c r="A898" s="33">
        <v>43961.881539155089</v>
      </c>
      <c r="B898" s="35" t="s">
        <v>1563</v>
      </c>
      <c r="C898" s="35" t="s">
        <v>1564</v>
      </c>
      <c r="D898" s="35" t="s">
        <v>1566</v>
      </c>
      <c r="E898" s="38" t="s">
        <v>1567</v>
      </c>
      <c r="F898" s="328" t="s">
        <v>1571</v>
      </c>
      <c r="G898" s="35" t="s">
        <v>32</v>
      </c>
      <c r="H898" s="35" t="s">
        <v>33</v>
      </c>
      <c r="I898" s="35" t="s">
        <v>1572</v>
      </c>
      <c r="J898" s="35" t="s">
        <v>35</v>
      </c>
      <c r="K898" s="327"/>
      <c r="L898" s="327"/>
      <c r="M898" s="35" t="s">
        <v>83</v>
      </c>
      <c r="N898" s="327"/>
      <c r="O898" s="35" t="s">
        <v>26</v>
      </c>
    </row>
    <row r="899" spans="1:15" ht="13" hidden="1">
      <c r="A899" s="33">
        <v>43961.891369131947</v>
      </c>
      <c r="B899" s="35" t="s">
        <v>7741</v>
      </c>
      <c r="C899" s="35" t="s">
        <v>7722</v>
      </c>
      <c r="D899" s="35" t="s">
        <v>6378</v>
      </c>
      <c r="E899" s="38" t="s">
        <v>7742</v>
      </c>
      <c r="G899" s="35" t="s">
        <v>7743</v>
      </c>
      <c r="H899" s="35" t="s">
        <v>46</v>
      </c>
      <c r="I899" s="35" t="s">
        <v>7744</v>
      </c>
      <c r="J899" s="35" t="s">
        <v>48</v>
      </c>
      <c r="K899" s="35" t="s">
        <v>7729</v>
      </c>
      <c r="M899" s="35" t="s">
        <v>83</v>
      </c>
      <c r="O899" s="35" t="s">
        <v>26</v>
      </c>
    </row>
    <row r="900" spans="1:15" ht="13" hidden="1">
      <c r="A900" s="33">
        <v>43961.895134513892</v>
      </c>
      <c r="B900" s="35" t="s">
        <v>7745</v>
      </c>
      <c r="C900" s="35" t="s">
        <v>7746</v>
      </c>
      <c r="D900" s="35" t="s">
        <v>6378</v>
      </c>
      <c r="E900" s="38" t="s">
        <v>7747</v>
      </c>
      <c r="G900" s="35" t="s">
        <v>5805</v>
      </c>
      <c r="H900" s="35" t="s">
        <v>46</v>
      </c>
      <c r="I900" s="35" t="s">
        <v>7752</v>
      </c>
      <c r="J900" s="35" t="s">
        <v>104</v>
      </c>
      <c r="K900" s="35" t="s">
        <v>7753</v>
      </c>
      <c r="M900" s="35" t="s">
        <v>67</v>
      </c>
      <c r="O900" s="35" t="s">
        <v>26</v>
      </c>
    </row>
    <row r="901" spans="1:15" ht="13" hidden="1">
      <c r="A901" s="33">
        <v>43961.899354768517</v>
      </c>
      <c r="B901" s="35" t="s">
        <v>7754</v>
      </c>
      <c r="C901" s="35" t="s">
        <v>7755</v>
      </c>
      <c r="D901" s="35" t="s">
        <v>7740</v>
      </c>
      <c r="E901" s="38" t="s">
        <v>7756</v>
      </c>
      <c r="G901" s="35" t="s">
        <v>6673</v>
      </c>
      <c r="H901" s="35" t="s">
        <v>46</v>
      </c>
      <c r="I901" s="35" t="s">
        <v>7757</v>
      </c>
      <c r="J901" s="35" t="s">
        <v>104</v>
      </c>
      <c r="K901" s="35" t="s">
        <v>7758</v>
      </c>
      <c r="M901" s="35" t="s">
        <v>67</v>
      </c>
      <c r="N901" s="35" t="s">
        <v>68</v>
      </c>
      <c r="O901" s="35" t="s">
        <v>26</v>
      </c>
    </row>
    <row r="902" spans="1:15" ht="13">
      <c r="A902" s="33">
        <v>43961.90064043981</v>
      </c>
      <c r="B902" s="35" t="s">
        <v>7418</v>
      </c>
      <c r="C902" s="35" t="s">
        <v>7419</v>
      </c>
      <c r="D902" s="35" t="s">
        <v>7420</v>
      </c>
      <c r="E902" s="38" t="s">
        <v>7421</v>
      </c>
      <c r="F902" s="327"/>
      <c r="G902" s="35" t="s">
        <v>1994</v>
      </c>
      <c r="H902" s="35" t="s">
        <v>33</v>
      </c>
      <c r="I902" s="35" t="s">
        <v>7425</v>
      </c>
      <c r="J902" s="35" t="s">
        <v>35</v>
      </c>
      <c r="K902" s="327"/>
      <c r="L902" s="327"/>
      <c r="M902" s="35" t="s">
        <v>83</v>
      </c>
      <c r="N902" s="328" t="s">
        <v>2884</v>
      </c>
      <c r="O902" s="35" t="s">
        <v>26</v>
      </c>
    </row>
    <row r="903" spans="1:15" ht="13">
      <c r="A903" s="33">
        <v>43961.915379502316</v>
      </c>
      <c r="B903" s="35" t="s">
        <v>1965</v>
      </c>
      <c r="C903" s="35" t="s">
        <v>1966</v>
      </c>
      <c r="D903" s="35" t="s">
        <v>1153</v>
      </c>
      <c r="E903" s="38" t="s">
        <v>1967</v>
      </c>
      <c r="F903" s="328" t="s">
        <v>1968</v>
      </c>
      <c r="G903" s="35" t="s">
        <v>1969</v>
      </c>
      <c r="H903" s="35" t="s">
        <v>33</v>
      </c>
      <c r="I903" s="35" t="s">
        <v>1970</v>
      </c>
      <c r="J903" s="35" t="s">
        <v>35</v>
      </c>
      <c r="K903" s="327"/>
      <c r="L903" s="327"/>
      <c r="M903" s="35" t="s">
        <v>83</v>
      </c>
      <c r="O903" s="35" t="s">
        <v>26</v>
      </c>
    </row>
    <row r="904" spans="1:15" ht="13">
      <c r="A904" s="33">
        <v>43961.959625578704</v>
      </c>
      <c r="B904" s="35" t="s">
        <v>1981</v>
      </c>
      <c r="C904" s="35" t="s">
        <v>1982</v>
      </c>
      <c r="D904" s="35" t="s">
        <v>1153</v>
      </c>
      <c r="E904" s="38" t="s">
        <v>1983</v>
      </c>
      <c r="F904" s="328" t="s">
        <v>1985</v>
      </c>
      <c r="G904" s="35" t="s">
        <v>1986</v>
      </c>
      <c r="H904" s="35" t="s">
        <v>33</v>
      </c>
      <c r="I904" s="35" t="s">
        <v>1987</v>
      </c>
      <c r="J904" s="35" t="s">
        <v>35</v>
      </c>
      <c r="K904" s="35" t="s">
        <v>1988</v>
      </c>
      <c r="M904" s="35" t="s">
        <v>83</v>
      </c>
      <c r="N904" s="328" t="s">
        <v>1989</v>
      </c>
      <c r="O904" s="35" t="s">
        <v>26</v>
      </c>
    </row>
    <row r="905" spans="1:15" ht="13" hidden="1">
      <c r="A905" s="33">
        <v>43961.994253310186</v>
      </c>
      <c r="B905" s="35" t="s">
        <v>7779</v>
      </c>
      <c r="C905" s="35" t="s">
        <v>1576</v>
      </c>
      <c r="D905" s="35" t="s">
        <v>7780</v>
      </c>
      <c r="E905" s="38" t="s">
        <v>7781</v>
      </c>
      <c r="G905" s="35" t="s">
        <v>7782</v>
      </c>
      <c r="H905" s="35" t="s">
        <v>506</v>
      </c>
      <c r="I905" s="35" t="s">
        <v>7783</v>
      </c>
      <c r="J905" s="35" t="s">
        <v>81</v>
      </c>
      <c r="K905" s="35" t="s">
        <v>7784</v>
      </c>
      <c r="L905" s="35" t="s">
        <v>7786</v>
      </c>
      <c r="M905" s="35" t="s">
        <v>83</v>
      </c>
      <c r="N905" s="35" t="s">
        <v>7787</v>
      </c>
      <c r="O905" s="35" t="s">
        <v>26</v>
      </c>
    </row>
    <row r="906" spans="1:15" ht="13">
      <c r="A906" s="33">
        <v>43962.028866249995</v>
      </c>
      <c r="B906" s="35" t="s">
        <v>5468</v>
      </c>
      <c r="C906" s="35" t="s">
        <v>5469</v>
      </c>
      <c r="D906" s="35" t="s">
        <v>5063</v>
      </c>
      <c r="E906" s="328" t="s">
        <v>5470</v>
      </c>
      <c r="F906" s="328" t="s">
        <v>5471</v>
      </c>
      <c r="G906" s="35" t="s">
        <v>709</v>
      </c>
      <c r="H906" s="35" t="s">
        <v>33</v>
      </c>
      <c r="I906" s="35" t="s">
        <v>5472</v>
      </c>
      <c r="J906" s="35" t="s">
        <v>48</v>
      </c>
      <c r="K906" s="35" t="s">
        <v>5473</v>
      </c>
      <c r="L906" s="328" t="s">
        <v>5474</v>
      </c>
      <c r="M906" s="35" t="s">
        <v>83</v>
      </c>
      <c r="N906" s="35" t="s">
        <v>5475</v>
      </c>
      <c r="O906" s="35" t="s">
        <v>26</v>
      </c>
    </row>
    <row r="907" spans="1:15" ht="13">
      <c r="A907" s="33">
        <v>43962.050455231481</v>
      </c>
      <c r="B907" s="35" t="s">
        <v>3727</v>
      </c>
      <c r="C907" s="35" t="s">
        <v>3728</v>
      </c>
      <c r="D907" s="35" t="s">
        <v>3729</v>
      </c>
      <c r="E907" s="38" t="s">
        <v>3730</v>
      </c>
      <c r="F907" s="328" t="s">
        <v>3732</v>
      </c>
      <c r="G907" s="35" t="s">
        <v>278</v>
      </c>
      <c r="H907" s="35" t="s">
        <v>33</v>
      </c>
      <c r="I907" s="35" t="s">
        <v>1572</v>
      </c>
      <c r="J907" s="35" t="s">
        <v>35</v>
      </c>
      <c r="K907" s="35" t="s">
        <v>3733</v>
      </c>
      <c r="L907" s="35" t="s">
        <v>3734</v>
      </c>
      <c r="M907" s="35" t="s">
        <v>83</v>
      </c>
      <c r="O907" s="35" t="s">
        <v>26</v>
      </c>
    </row>
    <row r="908" spans="1:15" ht="13" hidden="1">
      <c r="A908" s="33">
        <v>43962.091498912036</v>
      </c>
      <c r="B908" s="35" t="s">
        <v>7793</v>
      </c>
      <c r="C908" s="35" t="s">
        <v>7794</v>
      </c>
      <c r="D908" s="35" t="s">
        <v>7795</v>
      </c>
      <c r="E908" s="38" t="s">
        <v>7796</v>
      </c>
      <c r="G908" s="35" t="s">
        <v>7797</v>
      </c>
      <c r="H908" s="35" t="s">
        <v>46</v>
      </c>
      <c r="I908" s="35" t="s">
        <v>7798</v>
      </c>
      <c r="J908" s="35" t="s">
        <v>48</v>
      </c>
      <c r="K908" s="35" t="s">
        <v>7799</v>
      </c>
      <c r="L908" s="35" t="s">
        <v>7800</v>
      </c>
      <c r="M908" s="35" t="s">
        <v>83</v>
      </c>
      <c r="N908" s="35" t="s">
        <v>6810</v>
      </c>
      <c r="O908" s="35" t="s">
        <v>26</v>
      </c>
    </row>
    <row r="909" spans="1:15" ht="13" hidden="1">
      <c r="A909" s="33">
        <v>43962.0925096875</v>
      </c>
      <c r="B909" s="35" t="s">
        <v>7801</v>
      </c>
      <c r="C909" s="35" t="s">
        <v>7802</v>
      </c>
      <c r="D909" s="35" t="s">
        <v>6378</v>
      </c>
      <c r="E909" s="38" t="s">
        <v>7803</v>
      </c>
      <c r="G909" s="35" t="s">
        <v>505</v>
      </c>
      <c r="H909" s="35" t="s">
        <v>46</v>
      </c>
      <c r="I909" s="35" t="s">
        <v>7804</v>
      </c>
      <c r="J909" s="35" t="s">
        <v>35</v>
      </c>
      <c r="K909" s="35" t="s">
        <v>7805</v>
      </c>
      <c r="L909" s="35" t="s">
        <v>7806</v>
      </c>
      <c r="M909" s="35" t="s">
        <v>83</v>
      </c>
      <c r="O909" s="35" t="s">
        <v>26</v>
      </c>
    </row>
    <row r="910" spans="1:15" ht="13">
      <c r="A910" s="33">
        <v>43962.126310162035</v>
      </c>
      <c r="B910" s="35" t="s">
        <v>6344</v>
      </c>
      <c r="C910" s="35" t="s">
        <v>6345</v>
      </c>
      <c r="D910" s="35" t="s">
        <v>2141</v>
      </c>
      <c r="E910" s="38" t="s">
        <v>6346</v>
      </c>
      <c r="F910" s="328" t="s">
        <v>6347</v>
      </c>
      <c r="G910" s="35" t="s">
        <v>2655</v>
      </c>
      <c r="H910" s="35" t="s">
        <v>33</v>
      </c>
      <c r="I910" s="35" t="s">
        <v>6348</v>
      </c>
      <c r="J910" s="35" t="s">
        <v>35</v>
      </c>
      <c r="K910" s="35" t="s">
        <v>6349</v>
      </c>
      <c r="L910" s="327"/>
      <c r="M910" s="35" t="s">
        <v>83</v>
      </c>
      <c r="O910" s="35" t="s">
        <v>26</v>
      </c>
    </row>
    <row r="911" spans="1:15" ht="13">
      <c r="A911" s="33">
        <v>43962.255478483799</v>
      </c>
      <c r="B911" s="35" t="s">
        <v>9560</v>
      </c>
      <c r="C911" s="324" t="s">
        <v>2943</v>
      </c>
      <c r="D911" s="324" t="s">
        <v>6286</v>
      </c>
      <c r="E911" s="323" t="s">
        <v>9561</v>
      </c>
      <c r="F911" s="327"/>
      <c r="G911" s="324" t="s">
        <v>9557</v>
      </c>
      <c r="H911" s="324" t="s">
        <v>33</v>
      </c>
      <c r="I911" s="324" t="s">
        <v>9546</v>
      </c>
      <c r="J911" s="324" t="s">
        <v>48</v>
      </c>
      <c r="K911" s="327"/>
      <c r="L911" s="327"/>
      <c r="M911" s="324" t="s">
        <v>83</v>
      </c>
      <c r="N911" s="324" t="s">
        <v>9551</v>
      </c>
      <c r="O911" s="35" t="s">
        <v>26</v>
      </c>
    </row>
    <row r="912" spans="1:15" ht="13" hidden="1">
      <c r="A912" s="33">
        <v>43962.318960104167</v>
      </c>
      <c r="B912" s="35" t="s">
        <v>7829</v>
      </c>
      <c r="C912" s="35" t="s">
        <v>7830</v>
      </c>
      <c r="D912" s="35" t="s">
        <v>7831</v>
      </c>
      <c r="E912" s="38" t="s">
        <v>7832</v>
      </c>
      <c r="G912" s="35" t="s">
        <v>702</v>
      </c>
      <c r="H912" s="35" t="s">
        <v>5442</v>
      </c>
      <c r="I912" s="35" t="s">
        <v>7838</v>
      </c>
      <c r="J912" s="35" t="s">
        <v>48</v>
      </c>
      <c r="K912" s="35" t="s">
        <v>7840</v>
      </c>
      <c r="L912" s="35" t="s">
        <v>7841</v>
      </c>
      <c r="M912" s="35" t="s">
        <v>67</v>
      </c>
      <c r="N912" s="35" t="s">
        <v>255</v>
      </c>
      <c r="O912" s="35" t="s">
        <v>26</v>
      </c>
    </row>
    <row r="913" spans="1:15" ht="13">
      <c r="A913" s="33">
        <v>43962.479310428243</v>
      </c>
      <c r="B913" s="35" t="s">
        <v>4516</v>
      </c>
      <c r="C913" s="35" t="s">
        <v>4517</v>
      </c>
      <c r="D913" s="35" t="s">
        <v>4518</v>
      </c>
      <c r="E913" s="38" t="s">
        <v>4519</v>
      </c>
      <c r="F913" s="328" t="s">
        <v>4520</v>
      </c>
      <c r="G913" s="35" t="s">
        <v>4522</v>
      </c>
      <c r="H913" s="35" t="s">
        <v>33</v>
      </c>
      <c r="I913" s="35" t="s">
        <v>4523</v>
      </c>
      <c r="J913" s="35" t="s">
        <v>104</v>
      </c>
      <c r="K913" s="328" t="s">
        <v>4525</v>
      </c>
      <c r="L913" s="328" t="s">
        <v>4526</v>
      </c>
      <c r="M913" s="35" t="s">
        <v>83</v>
      </c>
      <c r="N913" s="328" t="s">
        <v>4527</v>
      </c>
      <c r="O913" s="35" t="s">
        <v>26</v>
      </c>
    </row>
    <row r="914" spans="1:15" ht="13" hidden="1">
      <c r="A914" s="33">
        <v>43962.849653078709</v>
      </c>
      <c r="B914" s="35" t="s">
        <v>7849</v>
      </c>
      <c r="C914" s="35" t="s">
        <v>7850</v>
      </c>
      <c r="D914" s="35" t="s">
        <v>7851</v>
      </c>
      <c r="E914" s="38" t="s">
        <v>7852</v>
      </c>
      <c r="G914" s="35" t="s">
        <v>220</v>
      </c>
      <c r="H914" s="35" t="s">
        <v>46</v>
      </c>
      <c r="I914" s="35" t="s">
        <v>7853</v>
      </c>
      <c r="J914" s="35" t="s">
        <v>746</v>
      </c>
      <c r="M914" s="35" t="s">
        <v>83</v>
      </c>
      <c r="O914" s="35" t="s">
        <v>26</v>
      </c>
    </row>
    <row r="915" spans="1:15" ht="13" hidden="1">
      <c r="A915" s="33">
        <v>43962.876717569445</v>
      </c>
      <c r="B915" s="35" t="s">
        <v>7854</v>
      </c>
      <c r="C915" s="35" t="s">
        <v>7856</v>
      </c>
      <c r="D915" s="35" t="s">
        <v>7857</v>
      </c>
      <c r="E915" s="38" t="s">
        <v>7858</v>
      </c>
      <c r="G915" s="35" t="s">
        <v>214</v>
      </c>
      <c r="H915" s="35" t="s">
        <v>189</v>
      </c>
      <c r="I915" s="35" t="s">
        <v>7860</v>
      </c>
      <c r="J915" s="35" t="s">
        <v>81</v>
      </c>
      <c r="K915" s="35" t="s">
        <v>7862</v>
      </c>
      <c r="L915" s="35" t="s">
        <v>7863</v>
      </c>
      <c r="M915" s="35" t="s">
        <v>83</v>
      </c>
      <c r="N915" s="35" t="s">
        <v>7864</v>
      </c>
      <c r="O915" s="35" t="s">
        <v>26</v>
      </c>
    </row>
    <row r="916" spans="1:15" ht="13" hidden="1">
      <c r="A916" s="33">
        <v>43962.882997546301</v>
      </c>
      <c r="B916" s="35" t="s">
        <v>7866</v>
      </c>
      <c r="C916" s="35" t="s">
        <v>2972</v>
      </c>
      <c r="D916" s="35" t="s">
        <v>7859</v>
      </c>
      <c r="E916" s="38" t="s">
        <v>7868</v>
      </c>
      <c r="G916" s="35" t="s">
        <v>519</v>
      </c>
      <c r="H916" s="35" t="s">
        <v>46</v>
      </c>
      <c r="I916" s="35" t="s">
        <v>7869</v>
      </c>
      <c r="J916" s="35" t="s">
        <v>81</v>
      </c>
      <c r="K916" s="35" t="s">
        <v>7870</v>
      </c>
      <c r="L916" s="35" t="s">
        <v>7871</v>
      </c>
      <c r="M916" s="35" t="s">
        <v>83</v>
      </c>
      <c r="N916" s="35" t="s">
        <v>7872</v>
      </c>
      <c r="O916" s="35" t="s">
        <v>26</v>
      </c>
    </row>
    <row r="917" spans="1:15" ht="13">
      <c r="A917" s="33">
        <v>43962.951779780095</v>
      </c>
      <c r="B917" s="35" t="s">
        <v>4528</v>
      </c>
      <c r="C917" s="35" t="s">
        <v>4529</v>
      </c>
      <c r="D917" s="35" t="s">
        <v>4530</v>
      </c>
      <c r="E917" s="38" t="s">
        <v>4531</v>
      </c>
      <c r="F917" s="328" t="s">
        <v>4532</v>
      </c>
      <c r="G917" s="35" t="s">
        <v>931</v>
      </c>
      <c r="H917" s="35" t="s">
        <v>33</v>
      </c>
      <c r="I917" s="328" t="s">
        <v>15</v>
      </c>
      <c r="J917" s="328" t="s">
        <v>48</v>
      </c>
      <c r="M917" s="328" t="s">
        <v>83</v>
      </c>
      <c r="N917" s="327"/>
      <c r="O917" s="35" t="s">
        <v>26</v>
      </c>
    </row>
    <row r="918" spans="1:15" ht="13">
      <c r="A918" s="33">
        <v>43963.03883060185</v>
      </c>
      <c r="B918" s="35" t="s">
        <v>4241</v>
      </c>
      <c r="C918" s="35" t="s">
        <v>4242</v>
      </c>
      <c r="D918" s="35" t="s">
        <v>4243</v>
      </c>
      <c r="E918" s="328" t="s">
        <v>4244</v>
      </c>
      <c r="F918" s="328" t="s">
        <v>4245</v>
      </c>
      <c r="G918" s="35" t="s">
        <v>4246</v>
      </c>
      <c r="H918" s="35" t="s">
        <v>33</v>
      </c>
      <c r="I918" s="35" t="s">
        <v>4247</v>
      </c>
      <c r="J918" s="35" t="s">
        <v>48</v>
      </c>
      <c r="K918" s="35" t="s">
        <v>4248</v>
      </c>
      <c r="L918" s="328" t="s">
        <v>4249</v>
      </c>
      <c r="M918" s="35" t="s">
        <v>83</v>
      </c>
      <c r="N918" s="327"/>
      <c r="O918" s="35" t="s">
        <v>26</v>
      </c>
    </row>
    <row r="919" spans="1:15" ht="13" hidden="1">
      <c r="A919" s="33">
        <v>43963.05684351852</v>
      </c>
      <c r="B919" s="35" t="s">
        <v>7882</v>
      </c>
      <c r="C919" s="35" t="s">
        <v>7883</v>
      </c>
      <c r="D919" s="35" t="s">
        <v>7884</v>
      </c>
      <c r="E919" s="38" t="s">
        <v>7885</v>
      </c>
      <c r="G919" s="35" t="s">
        <v>7887</v>
      </c>
      <c r="H919" s="35" t="s">
        <v>46</v>
      </c>
      <c r="I919" s="35" t="s">
        <v>7888</v>
      </c>
      <c r="J919" s="35" t="s">
        <v>35</v>
      </c>
      <c r="K919" s="35" t="s">
        <v>7889</v>
      </c>
      <c r="M919" s="35" t="s">
        <v>67</v>
      </c>
      <c r="N919" s="35" t="s">
        <v>7890</v>
      </c>
      <c r="O919" s="35" t="s">
        <v>26</v>
      </c>
    </row>
    <row r="920" spans="1:15" ht="13" hidden="1">
      <c r="A920" s="33">
        <v>43964.06793873843</v>
      </c>
      <c r="B920" s="35" t="s">
        <v>7891</v>
      </c>
      <c r="C920" s="35" t="s">
        <v>1239</v>
      </c>
      <c r="D920" s="35" t="s">
        <v>7892</v>
      </c>
      <c r="E920" s="38" t="s">
        <v>7893</v>
      </c>
      <c r="G920" s="35" t="s">
        <v>363</v>
      </c>
      <c r="H920" s="35" t="s">
        <v>46</v>
      </c>
      <c r="I920" s="35" t="s">
        <v>7891</v>
      </c>
      <c r="J920" s="35" t="s">
        <v>35</v>
      </c>
      <c r="K920" s="35" t="s">
        <v>7891</v>
      </c>
      <c r="M920" s="35" t="s">
        <v>67</v>
      </c>
      <c r="N920" s="35" t="s">
        <v>92</v>
      </c>
      <c r="O920" s="35" t="s">
        <v>26</v>
      </c>
    </row>
    <row r="921" spans="1:15" ht="13" hidden="1">
      <c r="A921" s="33">
        <v>43964.097335462968</v>
      </c>
      <c r="B921" s="35" t="s">
        <v>7896</v>
      </c>
      <c r="C921" s="35" t="s">
        <v>7897</v>
      </c>
      <c r="D921" s="35" t="s">
        <v>7898</v>
      </c>
      <c r="E921" s="38" t="s">
        <v>7900</v>
      </c>
      <c r="G921" s="35" t="s">
        <v>2017</v>
      </c>
      <c r="H921" s="35" t="s">
        <v>46</v>
      </c>
      <c r="I921" s="35" t="s">
        <v>7903</v>
      </c>
      <c r="J921" s="35" t="s">
        <v>48</v>
      </c>
      <c r="M921" s="35" t="s">
        <v>83</v>
      </c>
      <c r="O921" s="35" t="s">
        <v>26</v>
      </c>
    </row>
    <row r="922" spans="1:15" ht="13">
      <c r="A922" s="33">
        <v>43964.181920092597</v>
      </c>
      <c r="B922" s="35" t="s">
        <v>4241</v>
      </c>
      <c r="C922" s="35" t="s">
        <v>4242</v>
      </c>
      <c r="D922" s="35" t="s">
        <v>4243</v>
      </c>
      <c r="E922" s="328" t="s">
        <v>4244</v>
      </c>
      <c r="F922" s="327"/>
      <c r="G922" s="35" t="s">
        <v>4246</v>
      </c>
      <c r="H922" s="35" t="s">
        <v>33</v>
      </c>
      <c r="I922" s="35" t="s">
        <v>4247</v>
      </c>
      <c r="J922" s="35" t="s">
        <v>48</v>
      </c>
      <c r="K922" s="328" t="s">
        <v>4248</v>
      </c>
      <c r="L922" s="328" t="s">
        <v>4249</v>
      </c>
      <c r="M922" s="35" t="s">
        <v>83</v>
      </c>
      <c r="O922" s="35" t="s">
        <v>26</v>
      </c>
    </row>
    <row r="923" spans="1:15" ht="13" hidden="1">
      <c r="A923" s="33">
        <v>43964.242403032404</v>
      </c>
      <c r="B923" s="35" t="s">
        <v>7907</v>
      </c>
      <c r="C923" s="35" t="s">
        <v>7908</v>
      </c>
      <c r="D923" s="35" t="s">
        <v>7909</v>
      </c>
      <c r="E923" s="38" t="s">
        <v>7911</v>
      </c>
      <c r="G923" s="35" t="s">
        <v>730</v>
      </c>
      <c r="H923" s="35" t="s">
        <v>506</v>
      </c>
      <c r="I923" s="35" t="s">
        <v>7913</v>
      </c>
      <c r="J923" s="35" t="s">
        <v>35</v>
      </c>
      <c r="K923" s="35" t="s">
        <v>7914</v>
      </c>
      <c r="L923" s="35" t="s">
        <v>7915</v>
      </c>
      <c r="M923" s="35" t="s">
        <v>83</v>
      </c>
      <c r="N923" s="35" t="s">
        <v>7916</v>
      </c>
      <c r="O923" s="35" t="s">
        <v>26</v>
      </c>
    </row>
    <row r="924" spans="1:15" ht="13">
      <c r="A924" s="33">
        <v>43964.25179962963</v>
      </c>
      <c r="B924" s="35" t="s">
        <v>926</v>
      </c>
      <c r="C924" s="35" t="s">
        <v>927</v>
      </c>
      <c r="D924" s="35" t="s">
        <v>928</v>
      </c>
      <c r="E924" s="38" t="s">
        <v>929</v>
      </c>
      <c r="F924" s="328" t="s">
        <v>930</v>
      </c>
      <c r="G924" s="35" t="s">
        <v>931</v>
      </c>
      <c r="H924" s="35" t="s">
        <v>33</v>
      </c>
      <c r="I924" s="35" t="s">
        <v>932</v>
      </c>
      <c r="J924" s="35" t="s">
        <v>48</v>
      </c>
      <c r="K924" s="328" t="s">
        <v>933</v>
      </c>
      <c r="L924" s="328" t="s">
        <v>934</v>
      </c>
      <c r="M924" s="35" t="s">
        <v>83</v>
      </c>
      <c r="N924" s="327"/>
      <c r="O924" s="35" t="s">
        <v>26</v>
      </c>
    </row>
    <row r="925" spans="1:15" ht="13" hidden="1">
      <c r="A925" s="33">
        <v>43964.682618252315</v>
      </c>
      <c r="B925" s="35" t="s">
        <v>7925</v>
      </c>
      <c r="C925" s="35" t="s">
        <v>4703</v>
      </c>
      <c r="D925" s="35" t="s">
        <v>7927</v>
      </c>
      <c r="E925" s="38" t="s">
        <v>7928</v>
      </c>
      <c r="G925" s="35" t="s">
        <v>32</v>
      </c>
      <c r="H925" s="35" t="s">
        <v>506</v>
      </c>
      <c r="I925" s="35" t="s">
        <v>7930</v>
      </c>
      <c r="J925" s="35" t="s">
        <v>48</v>
      </c>
      <c r="K925" s="35" t="s">
        <v>7931</v>
      </c>
      <c r="M925" s="35" t="s">
        <v>83</v>
      </c>
      <c r="N925" s="35" t="s">
        <v>7932</v>
      </c>
      <c r="O925" s="35" t="s">
        <v>26</v>
      </c>
    </row>
    <row r="926" spans="1:15" ht="13" hidden="1">
      <c r="A926" s="33">
        <v>43964.7374408912</v>
      </c>
      <c r="B926" s="35" t="s">
        <v>7933</v>
      </c>
      <c r="C926" s="35" t="s">
        <v>7934</v>
      </c>
      <c r="D926" s="35" t="s">
        <v>7935</v>
      </c>
      <c r="E926" s="38" t="s">
        <v>7936</v>
      </c>
      <c r="G926" s="35" t="s">
        <v>7938</v>
      </c>
      <c r="H926" s="35" t="s">
        <v>506</v>
      </c>
      <c r="I926" s="35" t="s">
        <v>7939</v>
      </c>
      <c r="J926" s="35" t="s">
        <v>104</v>
      </c>
      <c r="K926" s="35" t="s">
        <v>7940</v>
      </c>
      <c r="L926" s="35" t="s">
        <v>7941</v>
      </c>
      <c r="M926" s="35" t="s">
        <v>83</v>
      </c>
      <c r="N926" s="35" t="s">
        <v>7942</v>
      </c>
      <c r="O926" s="35" t="s">
        <v>26</v>
      </c>
    </row>
    <row r="927" spans="1:15" ht="13">
      <c r="A927" s="33">
        <v>43964.901495740742</v>
      </c>
      <c r="B927" s="35" t="s">
        <v>1498</v>
      </c>
      <c r="C927" s="35" t="s">
        <v>927</v>
      </c>
      <c r="D927" s="35" t="s">
        <v>1499</v>
      </c>
      <c r="E927" s="38" t="s">
        <v>1500</v>
      </c>
      <c r="F927" s="328" t="s">
        <v>1501</v>
      </c>
      <c r="G927" s="35" t="s">
        <v>931</v>
      </c>
      <c r="H927" s="35" t="s">
        <v>33</v>
      </c>
      <c r="I927" s="35" t="s">
        <v>1502</v>
      </c>
      <c r="J927" s="35" t="s">
        <v>48</v>
      </c>
      <c r="K927" s="328" t="s">
        <v>1503</v>
      </c>
      <c r="M927" s="35" t="s">
        <v>83</v>
      </c>
      <c r="O927" s="35" t="s">
        <v>26</v>
      </c>
    </row>
    <row r="928" spans="1:15" ht="13" hidden="1">
      <c r="A928" s="33">
        <v>43964.947294456018</v>
      </c>
      <c r="B928" s="35" t="s">
        <v>7950</v>
      </c>
      <c r="C928" s="35" t="s">
        <v>7951</v>
      </c>
      <c r="D928" s="35" t="s">
        <v>7952</v>
      </c>
      <c r="E928" s="38" t="s">
        <v>7953</v>
      </c>
      <c r="G928" s="35" t="s">
        <v>363</v>
      </c>
      <c r="H928" s="35" t="s">
        <v>126</v>
      </c>
      <c r="I928" s="35" t="s">
        <v>7954</v>
      </c>
      <c r="J928" s="35" t="s">
        <v>48</v>
      </c>
      <c r="K928" s="35" t="s">
        <v>7955</v>
      </c>
      <c r="M928" s="35" t="s">
        <v>83</v>
      </c>
      <c r="N928" s="35" t="s">
        <v>7956</v>
      </c>
      <c r="O928" s="35" t="s">
        <v>26</v>
      </c>
    </row>
    <row r="929" spans="1:15" ht="13" hidden="1">
      <c r="A929" s="33">
        <v>43965.008704687498</v>
      </c>
      <c r="B929" s="35" t="s">
        <v>7957</v>
      </c>
      <c r="C929" s="35" t="s">
        <v>7958</v>
      </c>
      <c r="D929" s="35" t="s">
        <v>7960</v>
      </c>
      <c r="E929" s="38" t="s">
        <v>7961</v>
      </c>
      <c r="G929" s="35" t="s">
        <v>220</v>
      </c>
      <c r="H929" s="35" t="s">
        <v>46</v>
      </c>
      <c r="I929" s="35" t="s">
        <v>7963</v>
      </c>
      <c r="J929" s="35" t="s">
        <v>104</v>
      </c>
      <c r="K929" s="35" t="s">
        <v>7964</v>
      </c>
      <c r="M929" s="35" t="s">
        <v>83</v>
      </c>
      <c r="N929" s="35" t="s">
        <v>2180</v>
      </c>
      <c r="O929" s="35" t="s">
        <v>26</v>
      </c>
    </row>
    <row r="930" spans="1:15" ht="13" hidden="1">
      <c r="A930" s="33">
        <v>43965.018085266202</v>
      </c>
      <c r="B930" s="35" t="s">
        <v>7965</v>
      </c>
      <c r="C930" s="35" t="s">
        <v>7966</v>
      </c>
      <c r="D930" s="35" t="s">
        <v>7967</v>
      </c>
      <c r="E930" s="38" t="s">
        <v>7968</v>
      </c>
      <c r="G930" s="35" t="s">
        <v>344</v>
      </c>
      <c r="H930" s="35" t="s">
        <v>46</v>
      </c>
      <c r="I930" s="35" t="s">
        <v>7972</v>
      </c>
      <c r="J930" s="35" t="s">
        <v>104</v>
      </c>
      <c r="K930" s="35" t="s">
        <v>7973</v>
      </c>
      <c r="M930" s="35" t="s">
        <v>67</v>
      </c>
      <c r="N930" s="35" t="s">
        <v>7974</v>
      </c>
      <c r="O930" s="35" t="s">
        <v>26</v>
      </c>
    </row>
    <row r="931" spans="1:15" ht="13" hidden="1">
      <c r="A931" s="33">
        <v>43965.039572152775</v>
      </c>
      <c r="B931" s="35" t="s">
        <v>7977</v>
      </c>
      <c r="C931" s="35" t="s">
        <v>7978</v>
      </c>
      <c r="D931" s="35" t="s">
        <v>7979</v>
      </c>
      <c r="E931" s="38" t="s">
        <v>7980</v>
      </c>
      <c r="G931" s="35" t="s">
        <v>322</v>
      </c>
      <c r="H931" s="35" t="s">
        <v>506</v>
      </c>
      <c r="I931" s="35" t="s">
        <v>7982</v>
      </c>
      <c r="J931" s="35" t="s">
        <v>35</v>
      </c>
      <c r="M931" s="35" t="s">
        <v>83</v>
      </c>
      <c r="N931" s="35" t="s">
        <v>7984</v>
      </c>
      <c r="O931" s="35" t="s">
        <v>26</v>
      </c>
    </row>
    <row r="932" spans="1:15" ht="13">
      <c r="A932" s="33">
        <v>43965.095545856486</v>
      </c>
      <c r="B932" s="35" t="s">
        <v>5154</v>
      </c>
      <c r="C932" s="35" t="s">
        <v>927</v>
      </c>
      <c r="D932" s="35" t="s">
        <v>5155</v>
      </c>
      <c r="E932" s="38" t="s">
        <v>5156</v>
      </c>
      <c r="F932" s="328" t="s">
        <v>5157</v>
      </c>
      <c r="G932" s="35" t="s">
        <v>931</v>
      </c>
      <c r="H932" s="35" t="s">
        <v>33</v>
      </c>
      <c r="I932" s="35" t="s">
        <v>5158</v>
      </c>
      <c r="J932" s="35" t="s">
        <v>35</v>
      </c>
      <c r="K932" s="327"/>
      <c r="L932" s="327"/>
      <c r="M932" s="35" t="s">
        <v>83</v>
      </c>
      <c r="N932" s="328" t="s">
        <v>5160</v>
      </c>
      <c r="O932" s="35" t="s">
        <v>26</v>
      </c>
    </row>
    <row r="933" spans="1:15" ht="13" hidden="1">
      <c r="A933" s="33">
        <v>43965.767680775461</v>
      </c>
      <c r="B933" s="35" t="s">
        <v>7995</v>
      </c>
      <c r="C933" s="35" t="s">
        <v>1356</v>
      </c>
      <c r="D933" s="35" t="s">
        <v>7789</v>
      </c>
      <c r="E933" s="38" t="s">
        <v>7996</v>
      </c>
      <c r="G933" s="35" t="s">
        <v>7997</v>
      </c>
      <c r="H933" s="35" t="s">
        <v>46</v>
      </c>
      <c r="I933" s="35" t="s">
        <v>7998</v>
      </c>
      <c r="J933" s="35" t="s">
        <v>35</v>
      </c>
      <c r="K933" s="35" t="s">
        <v>7999</v>
      </c>
      <c r="L933" s="35" t="s">
        <v>8000</v>
      </c>
      <c r="M933" s="35" t="s">
        <v>83</v>
      </c>
      <c r="N933" s="35" t="s">
        <v>2118</v>
      </c>
      <c r="O933" s="35" t="s">
        <v>26</v>
      </c>
    </row>
    <row r="934" spans="1:15" ht="13" hidden="1">
      <c r="A934" s="33">
        <v>43965.878903379635</v>
      </c>
      <c r="B934" s="35" t="s">
        <v>8001</v>
      </c>
      <c r="C934" s="35" t="s">
        <v>354</v>
      </c>
      <c r="D934" s="35" t="s">
        <v>8002</v>
      </c>
      <c r="E934" s="38" t="s">
        <v>8004</v>
      </c>
      <c r="G934" s="35" t="s">
        <v>363</v>
      </c>
      <c r="H934" s="35" t="s">
        <v>46</v>
      </c>
      <c r="I934" s="35" t="s">
        <v>8009</v>
      </c>
      <c r="J934" s="35" t="s">
        <v>48</v>
      </c>
      <c r="K934" s="35" t="s">
        <v>8009</v>
      </c>
      <c r="L934" s="35" t="s">
        <v>8010</v>
      </c>
      <c r="M934" s="35" t="s">
        <v>83</v>
      </c>
      <c r="N934" s="35" t="s">
        <v>581</v>
      </c>
      <c r="O934" s="35" t="s">
        <v>26</v>
      </c>
    </row>
    <row r="935" spans="1:15" ht="13" hidden="1">
      <c r="A935" s="33">
        <v>43965.921642037036</v>
      </c>
      <c r="B935" s="35" t="s">
        <v>8011</v>
      </c>
      <c r="C935" s="35" t="s">
        <v>8012</v>
      </c>
      <c r="D935" s="35" t="s">
        <v>8013</v>
      </c>
      <c r="E935" s="38" t="s">
        <v>8014</v>
      </c>
      <c r="G935" s="35" t="s">
        <v>2299</v>
      </c>
      <c r="H935" s="35" t="s">
        <v>46</v>
      </c>
      <c r="I935" s="35" t="s">
        <v>8015</v>
      </c>
      <c r="J935" s="35" t="s">
        <v>81</v>
      </c>
      <c r="K935" s="35" t="s">
        <v>8018</v>
      </c>
      <c r="L935" s="35" t="s">
        <v>8020</v>
      </c>
      <c r="M935" s="35" t="s">
        <v>67</v>
      </c>
      <c r="O935" s="35" t="s">
        <v>26</v>
      </c>
    </row>
    <row r="936" spans="1:15" ht="13" hidden="1">
      <c r="A936" s="33">
        <v>43966.132802407403</v>
      </c>
      <c r="B936" s="35" t="s">
        <v>8022</v>
      </c>
      <c r="C936" s="35" t="s">
        <v>8023</v>
      </c>
      <c r="D936" s="35" t="s">
        <v>8024</v>
      </c>
      <c r="E936" s="35" t="s">
        <v>8025</v>
      </c>
      <c r="G936" s="35" t="s">
        <v>63</v>
      </c>
      <c r="H936" s="35" t="s">
        <v>46</v>
      </c>
      <c r="I936" s="35" t="s">
        <v>8026</v>
      </c>
      <c r="J936" s="35" t="s">
        <v>48</v>
      </c>
      <c r="M936" s="35" t="s">
        <v>83</v>
      </c>
      <c r="N936" s="35" t="s">
        <v>1151</v>
      </c>
      <c r="O936" s="35" t="s">
        <v>26</v>
      </c>
    </row>
    <row r="937" spans="1:15" ht="13" hidden="1">
      <c r="A937" s="33">
        <v>43966.810886192128</v>
      </c>
      <c r="B937" s="35" t="s">
        <v>8027</v>
      </c>
      <c r="C937" s="35" t="s">
        <v>5420</v>
      </c>
      <c r="D937" s="35" t="s">
        <v>8028</v>
      </c>
      <c r="E937" s="38" t="s">
        <v>8029</v>
      </c>
      <c r="G937" s="35" t="s">
        <v>6834</v>
      </c>
      <c r="H937" s="35" t="s">
        <v>126</v>
      </c>
      <c r="I937" s="35" t="s">
        <v>1115</v>
      </c>
      <c r="J937" s="35" t="s">
        <v>81</v>
      </c>
      <c r="M937" s="35" t="s">
        <v>83</v>
      </c>
      <c r="O937" s="35" t="s">
        <v>26</v>
      </c>
    </row>
    <row r="938" spans="1:15" ht="13">
      <c r="A938" s="33">
        <v>43966.929558611111</v>
      </c>
      <c r="B938" s="35" t="s">
        <v>9555</v>
      </c>
      <c r="C938" s="324" t="s">
        <v>927</v>
      </c>
      <c r="D938" s="324" t="s">
        <v>6286</v>
      </c>
      <c r="E938" s="323" t="s">
        <v>9556</v>
      </c>
      <c r="F938" s="327"/>
      <c r="G938" s="324" t="s">
        <v>9557</v>
      </c>
      <c r="H938" s="324" t="s">
        <v>33</v>
      </c>
      <c r="I938" s="324" t="s">
        <v>9546</v>
      </c>
      <c r="J938" s="324" t="s">
        <v>48</v>
      </c>
      <c r="K938" s="327"/>
      <c r="L938" s="327"/>
      <c r="M938" s="324" t="s">
        <v>83</v>
      </c>
      <c r="N938" s="324" t="s">
        <v>9551</v>
      </c>
      <c r="O938" s="35" t="s">
        <v>26</v>
      </c>
    </row>
    <row r="939" spans="1:15" ht="13" hidden="1">
      <c r="A939" s="33">
        <v>43966.942941412039</v>
      </c>
      <c r="B939" s="35" t="s">
        <v>8040</v>
      </c>
      <c r="C939" s="35" t="s">
        <v>8042</v>
      </c>
      <c r="D939" s="35" t="s">
        <v>7569</v>
      </c>
      <c r="E939" s="38" t="s">
        <v>8044</v>
      </c>
      <c r="G939" s="35" t="s">
        <v>8047</v>
      </c>
      <c r="H939" s="35" t="s">
        <v>126</v>
      </c>
      <c r="I939" s="35" t="s">
        <v>8048</v>
      </c>
      <c r="J939" s="35" t="s">
        <v>81</v>
      </c>
      <c r="M939" s="35" t="s">
        <v>83</v>
      </c>
      <c r="O939" s="35" t="s">
        <v>26</v>
      </c>
    </row>
    <row r="940" spans="1:15" ht="13" hidden="1">
      <c r="A940" s="33">
        <v>43966.947572465273</v>
      </c>
      <c r="B940" s="35" t="s">
        <v>8050</v>
      </c>
      <c r="C940" s="35" t="s">
        <v>958</v>
      </c>
      <c r="D940" s="35" t="s">
        <v>8051</v>
      </c>
      <c r="E940" s="38" t="s">
        <v>8052</v>
      </c>
      <c r="G940" s="35" t="s">
        <v>32</v>
      </c>
      <c r="H940" s="35" t="s">
        <v>126</v>
      </c>
      <c r="I940" s="35" t="s">
        <v>1115</v>
      </c>
      <c r="J940" s="35" t="s">
        <v>48</v>
      </c>
      <c r="M940" s="35" t="s">
        <v>67</v>
      </c>
      <c r="O940" s="35" t="s">
        <v>26</v>
      </c>
    </row>
    <row r="941" spans="1:15" ht="13" hidden="1">
      <c r="A941" s="33">
        <v>43966.998031423616</v>
      </c>
      <c r="B941" s="35" t="s">
        <v>8058</v>
      </c>
      <c r="C941" s="35" t="s">
        <v>8059</v>
      </c>
      <c r="D941" s="35" t="s">
        <v>8060</v>
      </c>
      <c r="E941" s="38" t="s">
        <v>8061</v>
      </c>
      <c r="G941" s="35" t="s">
        <v>1994</v>
      </c>
      <c r="H941" s="35" t="s">
        <v>46</v>
      </c>
      <c r="I941" s="35" t="s">
        <v>8062</v>
      </c>
      <c r="J941" s="35" t="s">
        <v>104</v>
      </c>
      <c r="K941" s="35" t="s">
        <v>8062</v>
      </c>
      <c r="L941" s="35" t="s">
        <v>8064</v>
      </c>
      <c r="M941" s="35" t="s">
        <v>67</v>
      </c>
      <c r="N941" s="35" t="s">
        <v>7998</v>
      </c>
      <c r="O941" s="35" t="s">
        <v>26</v>
      </c>
    </row>
    <row r="942" spans="1:15" ht="13" hidden="1">
      <c r="A942" s="33">
        <v>43967.326004490737</v>
      </c>
      <c r="B942" s="35" t="s">
        <v>8068</v>
      </c>
      <c r="C942" s="35" t="s">
        <v>211</v>
      </c>
      <c r="D942" s="35" t="s">
        <v>8070</v>
      </c>
      <c r="E942" s="38" t="s">
        <v>8071</v>
      </c>
      <c r="G942" s="35" t="s">
        <v>709</v>
      </c>
      <c r="H942" s="35" t="s">
        <v>126</v>
      </c>
      <c r="I942" s="35" t="s">
        <v>8073</v>
      </c>
      <c r="J942" s="35" t="s">
        <v>35</v>
      </c>
      <c r="K942" s="35" t="s">
        <v>8074</v>
      </c>
      <c r="M942" s="35" t="s">
        <v>67</v>
      </c>
      <c r="O942" s="35" t="s">
        <v>26</v>
      </c>
    </row>
    <row r="943" spans="1:15" ht="13">
      <c r="A943" s="33">
        <v>43968.017346620371</v>
      </c>
      <c r="B943" s="35" t="s">
        <v>9564</v>
      </c>
      <c r="C943" s="324" t="s">
        <v>927</v>
      </c>
      <c r="D943" s="324" t="s">
        <v>6286</v>
      </c>
      <c r="E943" s="323" t="s">
        <v>9565</v>
      </c>
      <c r="F943" s="327"/>
      <c r="G943" s="324" t="s">
        <v>9557</v>
      </c>
      <c r="H943" s="324" t="s">
        <v>33</v>
      </c>
      <c r="I943" s="324" t="s">
        <v>9546</v>
      </c>
      <c r="J943" s="324" t="s">
        <v>48</v>
      </c>
      <c r="K943" s="327"/>
      <c r="L943" s="327"/>
      <c r="M943" s="324" t="s">
        <v>83</v>
      </c>
      <c r="N943" s="324" t="s">
        <v>9551</v>
      </c>
      <c r="O943" s="35" t="s">
        <v>26</v>
      </c>
    </row>
    <row r="944" spans="1:15" ht="13" hidden="1">
      <c r="A944" s="33">
        <v>43968.100323854167</v>
      </c>
      <c r="B944" s="35" t="s">
        <v>8079</v>
      </c>
      <c r="C944" s="35" t="s">
        <v>8080</v>
      </c>
      <c r="D944" s="35" t="s">
        <v>8081</v>
      </c>
      <c r="E944" s="38" t="s">
        <v>8082</v>
      </c>
      <c r="G944" s="35" t="s">
        <v>296</v>
      </c>
      <c r="H944" s="35" t="s">
        <v>126</v>
      </c>
      <c r="I944" s="38" t="s">
        <v>8083</v>
      </c>
      <c r="J944" s="35" t="s">
        <v>35</v>
      </c>
      <c r="K944" s="35" t="s">
        <v>8084</v>
      </c>
      <c r="L944" s="35" t="s">
        <v>8085</v>
      </c>
      <c r="M944" s="35" t="s">
        <v>83</v>
      </c>
      <c r="O944" s="35" t="s">
        <v>26</v>
      </c>
    </row>
    <row r="945" spans="1:15" ht="13">
      <c r="A945" s="33">
        <v>43968.355148090282</v>
      </c>
      <c r="B945" s="35" t="s">
        <v>7807</v>
      </c>
      <c r="C945" s="328" t="s">
        <v>1356</v>
      </c>
      <c r="D945" s="328" t="s">
        <v>7808</v>
      </c>
      <c r="E945" s="38" t="s">
        <v>7809</v>
      </c>
      <c r="G945" s="328" t="s">
        <v>363</v>
      </c>
      <c r="H945" s="328" t="s">
        <v>33</v>
      </c>
      <c r="I945" s="328" t="s">
        <v>7816</v>
      </c>
      <c r="J945" s="328" t="s">
        <v>48</v>
      </c>
      <c r="K945" s="328" t="s">
        <v>7817</v>
      </c>
      <c r="L945" s="328" t="s">
        <v>7818</v>
      </c>
      <c r="M945" s="328" t="s">
        <v>83</v>
      </c>
      <c r="N945" s="327"/>
      <c r="O945" s="35" t="s">
        <v>26</v>
      </c>
    </row>
    <row r="946" spans="1:15" ht="13" hidden="1">
      <c r="A946" s="33">
        <v>43968.869125694444</v>
      </c>
      <c r="B946" s="35" t="s">
        <v>8091</v>
      </c>
      <c r="C946" s="35" t="s">
        <v>8092</v>
      </c>
      <c r="D946" s="35" t="s">
        <v>8093</v>
      </c>
      <c r="E946" s="38" t="s">
        <v>8094</v>
      </c>
      <c r="G946" s="35" t="s">
        <v>386</v>
      </c>
      <c r="H946" s="35" t="s">
        <v>8095</v>
      </c>
      <c r="I946" s="35" t="s">
        <v>8096</v>
      </c>
      <c r="J946" s="35" t="s">
        <v>81</v>
      </c>
      <c r="M946" s="35" t="s">
        <v>83</v>
      </c>
      <c r="N946" s="35" t="s">
        <v>8097</v>
      </c>
      <c r="O946" s="35" t="s">
        <v>26</v>
      </c>
    </row>
    <row r="947" spans="1:15" ht="13">
      <c r="A947" s="33">
        <v>43969.093791319443</v>
      </c>
      <c r="B947" s="35" t="s">
        <v>5957</v>
      </c>
      <c r="C947" s="35" t="s">
        <v>5958</v>
      </c>
      <c r="D947" s="35" t="s">
        <v>5959</v>
      </c>
      <c r="E947" s="38" t="s">
        <v>5960</v>
      </c>
      <c r="F947" s="328" t="s">
        <v>5962</v>
      </c>
      <c r="G947" s="35" t="s">
        <v>296</v>
      </c>
      <c r="H947" s="35" t="s">
        <v>33</v>
      </c>
      <c r="I947" s="35" t="s">
        <v>5963</v>
      </c>
      <c r="J947" s="35" t="s">
        <v>104</v>
      </c>
      <c r="M947" s="35" t="s">
        <v>83</v>
      </c>
      <c r="O947" s="35" t="s">
        <v>26</v>
      </c>
    </row>
    <row r="948" spans="1:15" ht="13" hidden="1">
      <c r="A948" s="33">
        <v>43969.221137152781</v>
      </c>
      <c r="B948" s="35" t="s">
        <v>8105</v>
      </c>
      <c r="C948" s="35" t="s">
        <v>8106</v>
      </c>
      <c r="D948" s="35" t="s">
        <v>8107</v>
      </c>
      <c r="E948" s="38" t="s">
        <v>8109</v>
      </c>
      <c r="G948" s="35" t="s">
        <v>8114</v>
      </c>
      <c r="H948" s="35" t="s">
        <v>46</v>
      </c>
      <c r="I948" s="35" t="s">
        <v>8115</v>
      </c>
      <c r="J948" s="35" t="s">
        <v>48</v>
      </c>
      <c r="K948" s="35" t="s">
        <v>8116</v>
      </c>
      <c r="L948" s="35" t="s">
        <v>8117</v>
      </c>
      <c r="M948" s="35" t="s">
        <v>83</v>
      </c>
      <c r="N948" s="35" t="s">
        <v>8118</v>
      </c>
      <c r="O948" s="35" t="s">
        <v>26</v>
      </c>
    </row>
    <row r="949" spans="1:15" ht="13" hidden="1">
      <c r="A949" s="33">
        <v>43969.667508032406</v>
      </c>
      <c r="B949" s="35" t="s">
        <v>8119</v>
      </c>
      <c r="C949" s="35" t="s">
        <v>927</v>
      </c>
      <c r="D949" s="35" t="s">
        <v>8120</v>
      </c>
      <c r="E949" s="38" t="s">
        <v>8121</v>
      </c>
      <c r="G949" s="35" t="s">
        <v>931</v>
      </c>
      <c r="H949" s="35" t="s">
        <v>506</v>
      </c>
      <c r="I949" s="35" t="s">
        <v>8123</v>
      </c>
      <c r="J949" s="35" t="s">
        <v>48</v>
      </c>
      <c r="M949" s="35" t="s">
        <v>83</v>
      </c>
      <c r="N949" s="35" t="s">
        <v>8124</v>
      </c>
      <c r="O949" s="35" t="s">
        <v>26</v>
      </c>
    </row>
    <row r="950" spans="1:15" ht="13" hidden="1">
      <c r="A950" s="33">
        <v>43969.774403229167</v>
      </c>
      <c r="B950" s="35" t="s">
        <v>8125</v>
      </c>
      <c r="C950" s="35" t="s">
        <v>8126</v>
      </c>
      <c r="D950" s="35" t="s">
        <v>2335</v>
      </c>
      <c r="E950" s="38" t="s">
        <v>8127</v>
      </c>
      <c r="G950" s="35" t="s">
        <v>702</v>
      </c>
      <c r="H950" s="35" t="s">
        <v>46</v>
      </c>
      <c r="I950" s="35" t="s">
        <v>8130</v>
      </c>
      <c r="J950" s="35" t="s">
        <v>48</v>
      </c>
      <c r="M950" s="35" t="s">
        <v>67</v>
      </c>
      <c r="O950" s="35" t="s">
        <v>26</v>
      </c>
    </row>
    <row r="951" spans="1:15" ht="13" hidden="1">
      <c r="A951" s="33">
        <v>43969.803965462968</v>
      </c>
      <c r="B951" s="35" t="s">
        <v>8131</v>
      </c>
      <c r="C951" s="35" t="s">
        <v>8132</v>
      </c>
      <c r="D951" s="35" t="s">
        <v>2335</v>
      </c>
      <c r="E951" s="38" t="s">
        <v>8134</v>
      </c>
      <c r="G951" s="35" t="s">
        <v>702</v>
      </c>
      <c r="H951" s="35" t="s">
        <v>46</v>
      </c>
      <c r="I951" s="35" t="s">
        <v>8138</v>
      </c>
      <c r="J951" s="35" t="s">
        <v>35</v>
      </c>
      <c r="K951" s="35" t="s">
        <v>8139</v>
      </c>
      <c r="L951" s="35" t="s">
        <v>8140</v>
      </c>
      <c r="M951" s="35" t="s">
        <v>83</v>
      </c>
      <c r="O951" s="35" t="s">
        <v>26</v>
      </c>
    </row>
    <row r="952" spans="1:15" ht="13" hidden="1">
      <c r="A952" s="33">
        <v>43970.189147106481</v>
      </c>
      <c r="B952" s="35" t="s">
        <v>8141</v>
      </c>
      <c r="C952" s="35" t="s">
        <v>8142</v>
      </c>
      <c r="D952" s="35" t="s">
        <v>8143</v>
      </c>
      <c r="E952" s="35" t="s">
        <v>8144</v>
      </c>
      <c r="G952" s="35" t="s">
        <v>2738</v>
      </c>
      <c r="H952" s="35" t="s">
        <v>126</v>
      </c>
      <c r="I952" s="35" t="s">
        <v>8146</v>
      </c>
      <c r="J952" s="35" t="s">
        <v>35</v>
      </c>
      <c r="K952" s="35" t="s">
        <v>8147</v>
      </c>
      <c r="L952" s="35" t="s">
        <v>8148</v>
      </c>
      <c r="M952" s="35" t="s">
        <v>83</v>
      </c>
      <c r="N952" s="35" t="s">
        <v>8149</v>
      </c>
      <c r="O952" s="35" t="s">
        <v>26</v>
      </c>
    </row>
    <row r="953" spans="1:15" ht="13" hidden="1">
      <c r="A953" s="33">
        <v>43970.265735567125</v>
      </c>
      <c r="B953" s="35" t="s">
        <v>8150</v>
      </c>
      <c r="C953" s="35" t="s">
        <v>8151</v>
      </c>
      <c r="D953" s="35" t="s">
        <v>8152</v>
      </c>
      <c r="E953" s="38" t="s">
        <v>8153</v>
      </c>
      <c r="G953" s="35" t="s">
        <v>3145</v>
      </c>
      <c r="H953" s="35" t="s">
        <v>46</v>
      </c>
      <c r="I953" s="35" t="s">
        <v>425</v>
      </c>
      <c r="J953" s="35" t="s">
        <v>81</v>
      </c>
      <c r="M953" s="35" t="s">
        <v>67</v>
      </c>
      <c r="N953" s="35" t="s">
        <v>8155</v>
      </c>
      <c r="O953" s="35" t="s">
        <v>26</v>
      </c>
    </row>
    <row r="954" spans="1:15" ht="13" hidden="1">
      <c r="A954" s="33">
        <v>43970.397399780093</v>
      </c>
      <c r="B954" s="35" t="s">
        <v>8156</v>
      </c>
      <c r="C954" s="35" t="s">
        <v>8157</v>
      </c>
      <c r="D954" s="35" t="s">
        <v>8158</v>
      </c>
      <c r="E954" s="38" t="s">
        <v>8159</v>
      </c>
      <c r="G954" s="35" t="s">
        <v>2017</v>
      </c>
      <c r="H954" s="35" t="s">
        <v>126</v>
      </c>
      <c r="I954" s="35" t="s">
        <v>15</v>
      </c>
      <c r="J954" s="35" t="s">
        <v>48</v>
      </c>
      <c r="M954" s="35" t="s">
        <v>83</v>
      </c>
      <c r="N954" s="35" t="s">
        <v>8161</v>
      </c>
      <c r="O954" s="35" t="s">
        <v>26</v>
      </c>
    </row>
    <row r="955" spans="1:15" ht="13" hidden="1">
      <c r="A955" s="33">
        <v>43970.898951412033</v>
      </c>
      <c r="B955" s="35" t="s">
        <v>8162</v>
      </c>
      <c r="C955" s="35" t="s">
        <v>8163</v>
      </c>
      <c r="D955" s="35" t="s">
        <v>1153</v>
      </c>
      <c r="E955" s="38" t="s">
        <v>8164</v>
      </c>
      <c r="G955" s="35" t="s">
        <v>134</v>
      </c>
      <c r="H955" s="35" t="s">
        <v>399</v>
      </c>
      <c r="I955" s="35" t="s">
        <v>8169</v>
      </c>
      <c r="J955" s="35" t="s">
        <v>48</v>
      </c>
      <c r="K955" s="35" t="s">
        <v>8170</v>
      </c>
      <c r="L955" s="35" t="s">
        <v>8171</v>
      </c>
      <c r="M955" s="35" t="s">
        <v>83</v>
      </c>
      <c r="O955" s="35" t="s">
        <v>26</v>
      </c>
    </row>
    <row r="956" spans="1:15" ht="13" hidden="1">
      <c r="A956" s="33">
        <v>43970.960816967592</v>
      </c>
      <c r="B956" s="35" t="s">
        <v>8172</v>
      </c>
      <c r="C956" s="35" t="s">
        <v>8173</v>
      </c>
      <c r="D956" s="35" t="s">
        <v>1153</v>
      </c>
      <c r="E956" s="38" t="s">
        <v>8174</v>
      </c>
      <c r="G956" s="35" t="s">
        <v>8175</v>
      </c>
      <c r="H956" s="35" t="s">
        <v>399</v>
      </c>
      <c r="I956" s="35" t="s">
        <v>8176</v>
      </c>
      <c r="J956" s="35" t="s">
        <v>48</v>
      </c>
      <c r="M956" s="35" t="s">
        <v>83</v>
      </c>
      <c r="O956" s="35" t="s">
        <v>26</v>
      </c>
    </row>
    <row r="957" spans="1:15" ht="13" hidden="1">
      <c r="A957" s="33">
        <v>43970.972398414349</v>
      </c>
      <c r="B957" s="35" t="s">
        <v>8177</v>
      </c>
      <c r="C957" s="35" t="s">
        <v>8178</v>
      </c>
      <c r="D957" s="35" t="s">
        <v>7810</v>
      </c>
      <c r="E957" s="38" t="s">
        <v>8179</v>
      </c>
      <c r="G957" s="35" t="s">
        <v>709</v>
      </c>
      <c r="H957" s="35" t="s">
        <v>399</v>
      </c>
      <c r="I957" s="35" t="s">
        <v>8180</v>
      </c>
      <c r="J957" s="35" t="s">
        <v>48</v>
      </c>
      <c r="K957" s="35" t="s">
        <v>8181</v>
      </c>
      <c r="M957" s="35" t="s">
        <v>83</v>
      </c>
      <c r="O957" s="35" t="s">
        <v>26</v>
      </c>
    </row>
    <row r="958" spans="1:15" ht="13" hidden="1">
      <c r="A958" s="33">
        <v>43970.973612835645</v>
      </c>
      <c r="B958" s="35" t="s">
        <v>8182</v>
      </c>
      <c r="C958" s="35" t="s">
        <v>8183</v>
      </c>
      <c r="D958" s="35" t="s">
        <v>8184</v>
      </c>
      <c r="E958" s="38" t="s">
        <v>8185</v>
      </c>
      <c r="G958" s="35" t="s">
        <v>322</v>
      </c>
      <c r="H958" s="35" t="s">
        <v>506</v>
      </c>
      <c r="I958" s="35" t="s">
        <v>7982</v>
      </c>
      <c r="J958" s="35" t="s">
        <v>81</v>
      </c>
      <c r="K958" s="35" t="s">
        <v>8186</v>
      </c>
      <c r="M958" s="35" t="s">
        <v>83</v>
      </c>
      <c r="O958" s="35" t="s">
        <v>26</v>
      </c>
    </row>
    <row r="959" spans="1:15" ht="13" hidden="1">
      <c r="A959" s="33">
        <v>43970.980802303238</v>
      </c>
      <c r="B959" s="35" t="s">
        <v>8187</v>
      </c>
      <c r="C959" s="35" t="s">
        <v>8188</v>
      </c>
      <c r="D959" s="35" t="s">
        <v>1153</v>
      </c>
      <c r="E959" s="38" t="s">
        <v>8189</v>
      </c>
      <c r="G959" s="35" t="s">
        <v>63</v>
      </c>
      <c r="H959" s="35" t="s">
        <v>399</v>
      </c>
      <c r="I959" s="35" t="s">
        <v>8190</v>
      </c>
      <c r="J959" s="35" t="s">
        <v>48</v>
      </c>
      <c r="M959" s="35" t="s">
        <v>83</v>
      </c>
      <c r="N959" s="35" t="s">
        <v>4422</v>
      </c>
      <c r="O959" s="35" t="s">
        <v>26</v>
      </c>
    </row>
    <row r="960" spans="1:15" ht="13" hidden="1">
      <c r="A960" s="33">
        <v>43970.987467581013</v>
      </c>
      <c r="B960" s="35" t="s">
        <v>8193</v>
      </c>
      <c r="C960" s="35" t="s">
        <v>8194</v>
      </c>
      <c r="D960" s="35" t="s">
        <v>7815</v>
      </c>
      <c r="E960" s="38" t="s">
        <v>8195</v>
      </c>
      <c r="G960" s="35" t="s">
        <v>709</v>
      </c>
      <c r="H960" s="35" t="s">
        <v>399</v>
      </c>
      <c r="I960" s="35" t="s">
        <v>8196</v>
      </c>
      <c r="J960" s="35" t="s">
        <v>48</v>
      </c>
      <c r="K960" s="35" t="s">
        <v>8197</v>
      </c>
      <c r="M960" s="35" t="s">
        <v>67</v>
      </c>
      <c r="N960" s="35" t="s">
        <v>8198</v>
      </c>
      <c r="O960" s="35" t="s">
        <v>26</v>
      </c>
    </row>
    <row r="961" spans="1:15" ht="13" hidden="1">
      <c r="A961" s="33">
        <v>43970.99670152778</v>
      </c>
      <c r="B961" s="35" t="s">
        <v>8199</v>
      </c>
      <c r="C961" s="35" t="s">
        <v>8200</v>
      </c>
      <c r="D961" s="35" t="s">
        <v>8201</v>
      </c>
      <c r="E961" s="38" t="s">
        <v>8202</v>
      </c>
      <c r="G961" s="35" t="s">
        <v>394</v>
      </c>
      <c r="H961" s="35" t="s">
        <v>399</v>
      </c>
      <c r="I961" s="35" t="s">
        <v>8187</v>
      </c>
      <c r="J961" s="35" t="s">
        <v>35</v>
      </c>
      <c r="M961" s="35" t="s">
        <v>67</v>
      </c>
      <c r="O961" s="35" t="s">
        <v>26</v>
      </c>
    </row>
    <row r="962" spans="1:15" ht="13" hidden="1">
      <c r="A962" s="33">
        <v>43971.007020833335</v>
      </c>
      <c r="B962" s="35" t="s">
        <v>8203</v>
      </c>
      <c r="C962" s="35" t="s">
        <v>8204</v>
      </c>
      <c r="D962" s="35" t="s">
        <v>1153</v>
      </c>
      <c r="E962" s="38" t="s">
        <v>8205</v>
      </c>
      <c r="G962" s="35" t="s">
        <v>1325</v>
      </c>
      <c r="H962" s="35" t="s">
        <v>399</v>
      </c>
      <c r="I962" s="35" t="s">
        <v>8187</v>
      </c>
      <c r="J962" s="35" t="s">
        <v>48</v>
      </c>
      <c r="M962" s="35" t="s">
        <v>83</v>
      </c>
      <c r="O962" s="35" t="s">
        <v>26</v>
      </c>
    </row>
    <row r="963" spans="1:15" ht="13">
      <c r="A963" s="33">
        <v>43971.095140358797</v>
      </c>
      <c r="B963" s="35" t="s">
        <v>894</v>
      </c>
      <c r="C963" s="35" t="s">
        <v>895</v>
      </c>
      <c r="D963" s="35" t="s">
        <v>896</v>
      </c>
      <c r="E963" s="38" t="s">
        <v>897</v>
      </c>
      <c r="F963" s="328" t="s">
        <v>904</v>
      </c>
      <c r="G963" s="35" t="s">
        <v>905</v>
      </c>
      <c r="H963" s="35" t="s">
        <v>33</v>
      </c>
      <c r="I963" s="35" t="s">
        <v>906</v>
      </c>
      <c r="J963" s="35" t="s">
        <v>104</v>
      </c>
      <c r="K963" s="327"/>
      <c r="M963" s="35" t="s">
        <v>83</v>
      </c>
      <c r="O963" s="35" t="s">
        <v>26</v>
      </c>
    </row>
    <row r="964" spans="1:15" ht="13" hidden="1">
      <c r="A964" s="33">
        <v>43971.202218136576</v>
      </c>
      <c r="B964" s="35" t="s">
        <v>8212</v>
      </c>
      <c r="C964" s="35" t="s">
        <v>2312</v>
      </c>
      <c r="D964" s="35" t="s">
        <v>8213</v>
      </c>
      <c r="E964" s="38" t="s">
        <v>8214</v>
      </c>
      <c r="G964" s="35" t="s">
        <v>63</v>
      </c>
      <c r="H964" s="35" t="s">
        <v>126</v>
      </c>
      <c r="I964" s="35" t="s">
        <v>8218</v>
      </c>
      <c r="J964" s="35" t="s">
        <v>104</v>
      </c>
      <c r="K964" s="35" t="s">
        <v>8219</v>
      </c>
      <c r="M964" s="35" t="s">
        <v>67</v>
      </c>
      <c r="O964" s="35" t="s">
        <v>26</v>
      </c>
    </row>
    <row r="965" spans="1:15" ht="13" hidden="1">
      <c r="A965" s="33">
        <v>43971.219209652772</v>
      </c>
      <c r="B965" s="35" t="s">
        <v>8220</v>
      </c>
      <c r="C965" s="35" t="s">
        <v>8221</v>
      </c>
      <c r="D965" s="35" t="s">
        <v>8222</v>
      </c>
      <c r="E965" s="38" t="s">
        <v>8223</v>
      </c>
      <c r="G965" s="35" t="s">
        <v>322</v>
      </c>
      <c r="H965" s="35" t="s">
        <v>46</v>
      </c>
      <c r="I965" s="35" t="s">
        <v>8224</v>
      </c>
      <c r="J965" s="35" t="s">
        <v>81</v>
      </c>
      <c r="M965" s="35" t="s">
        <v>83</v>
      </c>
      <c r="O965" s="35" t="s">
        <v>26</v>
      </c>
    </row>
    <row r="966" spans="1:15" ht="13" hidden="1">
      <c r="A966" s="33">
        <v>43971.370095185186</v>
      </c>
      <c r="B966" s="35" t="s">
        <v>8225</v>
      </c>
      <c r="C966" s="35" t="s">
        <v>8226</v>
      </c>
      <c r="D966" s="35" t="s">
        <v>6757</v>
      </c>
      <c r="E966" s="38" t="s">
        <v>8227</v>
      </c>
      <c r="G966" s="35" t="s">
        <v>63</v>
      </c>
      <c r="H966" s="35" t="s">
        <v>1140</v>
      </c>
      <c r="I966" s="35" t="s">
        <v>8228</v>
      </c>
      <c r="J966" s="35" t="s">
        <v>48</v>
      </c>
      <c r="M966" s="35" t="s">
        <v>67</v>
      </c>
      <c r="N966" s="35" t="s">
        <v>8229</v>
      </c>
      <c r="O966" s="35" t="s">
        <v>26</v>
      </c>
    </row>
    <row r="967" spans="1:15" ht="13" hidden="1">
      <c r="A967" s="33">
        <v>43971.397140150468</v>
      </c>
      <c r="B967" s="35" t="s">
        <v>8230</v>
      </c>
      <c r="C967" s="35" t="s">
        <v>2050</v>
      </c>
      <c r="D967" s="35" t="s">
        <v>8234</v>
      </c>
      <c r="E967" s="38" t="s">
        <v>8236</v>
      </c>
      <c r="G967" s="35" t="s">
        <v>702</v>
      </c>
      <c r="H967" s="35" t="s">
        <v>126</v>
      </c>
      <c r="I967" s="35" t="s">
        <v>5922</v>
      </c>
      <c r="J967" s="35" t="s">
        <v>35</v>
      </c>
      <c r="M967" s="35" t="s">
        <v>83</v>
      </c>
      <c r="N967" s="35" t="s">
        <v>8239</v>
      </c>
      <c r="O967" s="35" t="s">
        <v>26</v>
      </c>
    </row>
    <row r="968" spans="1:15" ht="13">
      <c r="A968" s="33">
        <v>43971.993539907402</v>
      </c>
      <c r="B968" s="35" t="s">
        <v>6983</v>
      </c>
      <c r="C968" s="35" t="s">
        <v>6984</v>
      </c>
      <c r="D968" s="38" t="s">
        <v>5734</v>
      </c>
      <c r="E968" s="38" t="s">
        <v>6985</v>
      </c>
      <c r="F968" s="327"/>
      <c r="G968" s="35" t="s">
        <v>394</v>
      </c>
      <c r="H968" s="35" t="s">
        <v>33</v>
      </c>
      <c r="I968" s="35" t="s">
        <v>6986</v>
      </c>
      <c r="J968" s="35" t="s">
        <v>35</v>
      </c>
      <c r="K968" s="327"/>
      <c r="L968" s="327"/>
      <c r="M968" s="35" t="s">
        <v>67</v>
      </c>
      <c r="O968" s="35" t="s">
        <v>26</v>
      </c>
    </row>
    <row r="969" spans="1:15" ht="13" hidden="1">
      <c r="A969" s="33">
        <v>43972.039843703707</v>
      </c>
      <c r="B969" s="35" t="s">
        <v>8248</v>
      </c>
      <c r="C969" s="35" t="s">
        <v>8249</v>
      </c>
      <c r="D969" s="38" t="s">
        <v>8250</v>
      </c>
      <c r="E969" s="38" t="s">
        <v>8257</v>
      </c>
      <c r="G969" s="35" t="s">
        <v>8259</v>
      </c>
      <c r="H969" s="35" t="s">
        <v>126</v>
      </c>
      <c r="I969" s="35" t="s">
        <v>8260</v>
      </c>
      <c r="J969" s="35" t="s">
        <v>104</v>
      </c>
      <c r="K969" s="35" t="s">
        <v>8261</v>
      </c>
      <c r="L969" s="35" t="s">
        <v>8262</v>
      </c>
      <c r="M969" s="35" t="s">
        <v>83</v>
      </c>
      <c r="N969" s="35" t="s">
        <v>7984</v>
      </c>
      <c r="O969" s="35" t="s">
        <v>26</v>
      </c>
    </row>
    <row r="970" spans="1:15" ht="13" hidden="1">
      <c r="A970" s="33">
        <v>43972.116095717589</v>
      </c>
      <c r="B970" s="35" t="s">
        <v>8263</v>
      </c>
      <c r="C970" s="35" t="s">
        <v>8264</v>
      </c>
      <c r="D970" s="35" t="s">
        <v>8265</v>
      </c>
      <c r="E970" s="38" t="s">
        <v>8266</v>
      </c>
      <c r="G970" s="35" t="s">
        <v>3867</v>
      </c>
      <c r="H970" s="35" t="s">
        <v>46</v>
      </c>
      <c r="I970" s="35" t="s">
        <v>8267</v>
      </c>
      <c r="J970" s="35" t="s">
        <v>48</v>
      </c>
      <c r="K970" s="35" t="s">
        <v>8268</v>
      </c>
      <c r="L970" s="35" t="s">
        <v>8269</v>
      </c>
      <c r="M970" s="35" t="s">
        <v>67</v>
      </c>
      <c r="N970" s="35" t="s">
        <v>8270</v>
      </c>
      <c r="O970" s="35" t="s">
        <v>26</v>
      </c>
    </row>
    <row r="971" spans="1:15" ht="13" hidden="1">
      <c r="A971" s="33">
        <v>43972.204806562499</v>
      </c>
      <c r="B971" s="35" t="s">
        <v>8271</v>
      </c>
      <c r="C971" s="35" t="s">
        <v>5641</v>
      </c>
      <c r="D971" s="35" t="s">
        <v>8272</v>
      </c>
      <c r="E971" s="38" t="s">
        <v>8273</v>
      </c>
      <c r="G971" s="35" t="s">
        <v>8274</v>
      </c>
      <c r="H971" s="35" t="s">
        <v>46</v>
      </c>
      <c r="I971" s="35" t="s">
        <v>8275</v>
      </c>
      <c r="J971" s="35" t="s">
        <v>104</v>
      </c>
      <c r="K971" s="35" t="s">
        <v>8276</v>
      </c>
      <c r="L971" s="35" t="s">
        <v>8277</v>
      </c>
      <c r="M971" s="35" t="s">
        <v>83</v>
      </c>
      <c r="N971" s="35" t="s">
        <v>8278</v>
      </c>
      <c r="O971" s="35" t="s">
        <v>26</v>
      </c>
    </row>
    <row r="972" spans="1:15" ht="13" hidden="1">
      <c r="A972" s="33">
        <v>43972.211569409723</v>
      </c>
      <c r="B972" s="35" t="s">
        <v>8279</v>
      </c>
      <c r="C972" s="35" t="s">
        <v>8280</v>
      </c>
      <c r="D972" s="35" t="s">
        <v>8281</v>
      </c>
      <c r="E972" s="38" t="s">
        <v>8282</v>
      </c>
      <c r="G972" s="35" t="s">
        <v>63</v>
      </c>
      <c r="H972" s="35" t="s">
        <v>126</v>
      </c>
      <c r="I972" s="35" t="s">
        <v>8285</v>
      </c>
      <c r="J972" s="35" t="s">
        <v>35</v>
      </c>
      <c r="M972" s="35" t="s">
        <v>83</v>
      </c>
      <c r="N972" s="35" t="s">
        <v>8287</v>
      </c>
      <c r="O972" s="35" t="s">
        <v>26</v>
      </c>
    </row>
    <row r="973" spans="1:15" ht="13" hidden="1">
      <c r="A973" s="33">
        <v>43972.228397476851</v>
      </c>
      <c r="B973" s="35" t="s">
        <v>8288</v>
      </c>
      <c r="C973" s="35" t="s">
        <v>8289</v>
      </c>
      <c r="D973" s="35" t="s">
        <v>8290</v>
      </c>
      <c r="E973" s="38" t="s">
        <v>8291</v>
      </c>
      <c r="G973" s="35" t="s">
        <v>4472</v>
      </c>
      <c r="H973" s="35" t="s">
        <v>46</v>
      </c>
      <c r="I973" s="35" t="s">
        <v>8292</v>
      </c>
      <c r="J973" s="35" t="s">
        <v>48</v>
      </c>
      <c r="K973" s="35" t="s">
        <v>8293</v>
      </c>
      <c r="M973" s="35" t="s">
        <v>83</v>
      </c>
      <c r="N973" s="35" t="s">
        <v>4072</v>
      </c>
      <c r="O973" s="35" t="s">
        <v>26</v>
      </c>
    </row>
    <row r="974" spans="1:15" ht="13">
      <c r="A974" s="33">
        <v>43973.05139403935</v>
      </c>
      <c r="B974" s="35" t="s">
        <v>4625</v>
      </c>
      <c r="C974" s="35" t="s">
        <v>4626</v>
      </c>
      <c r="D974" s="35" t="s">
        <v>1153</v>
      </c>
      <c r="E974" s="38" t="s">
        <v>4627</v>
      </c>
      <c r="F974" s="328" t="s">
        <v>4628</v>
      </c>
      <c r="G974" s="35" t="s">
        <v>1739</v>
      </c>
      <c r="H974" s="35" t="s">
        <v>33</v>
      </c>
      <c r="I974" s="35" t="s">
        <v>4629</v>
      </c>
      <c r="J974" s="35" t="s">
        <v>104</v>
      </c>
      <c r="K974" s="328" t="s">
        <v>4630</v>
      </c>
      <c r="L974" s="327"/>
      <c r="M974" s="35" t="s">
        <v>83</v>
      </c>
      <c r="N974" s="327"/>
      <c r="O974" s="35" t="s">
        <v>26</v>
      </c>
    </row>
    <row r="975" spans="1:15" ht="13" hidden="1">
      <c r="A975" s="33">
        <v>43973.190147789355</v>
      </c>
      <c r="B975" s="35" t="s">
        <v>6649</v>
      </c>
      <c r="C975" s="35" t="s">
        <v>8307</v>
      </c>
      <c r="D975" s="35" t="s">
        <v>7983</v>
      </c>
      <c r="E975" s="38" t="s">
        <v>8308</v>
      </c>
      <c r="G975" s="35" t="s">
        <v>394</v>
      </c>
      <c r="H975" s="35" t="s">
        <v>46</v>
      </c>
      <c r="I975" s="35" t="s">
        <v>425</v>
      </c>
      <c r="J975" s="35" t="s">
        <v>48</v>
      </c>
      <c r="K975" s="35" t="s">
        <v>8309</v>
      </c>
      <c r="M975" s="35" t="s">
        <v>83</v>
      </c>
      <c r="N975" s="35" t="s">
        <v>826</v>
      </c>
      <c r="O975" s="35" t="s">
        <v>26</v>
      </c>
    </row>
    <row r="976" spans="1:15" ht="13" hidden="1">
      <c r="A976" s="33">
        <v>43973.298225497681</v>
      </c>
      <c r="B976" s="35" t="s">
        <v>8311</v>
      </c>
      <c r="C976" s="35" t="s">
        <v>162</v>
      </c>
      <c r="D976" s="35" t="s">
        <v>8312</v>
      </c>
      <c r="E976" s="38" t="s">
        <v>8313</v>
      </c>
      <c r="G976" s="35" t="s">
        <v>8318</v>
      </c>
      <c r="H976" s="35" t="s">
        <v>126</v>
      </c>
      <c r="I976" s="35" t="s">
        <v>8319</v>
      </c>
      <c r="J976" s="35" t="s">
        <v>104</v>
      </c>
      <c r="K976" s="35" t="s">
        <v>8320</v>
      </c>
      <c r="M976" s="35" t="s">
        <v>83</v>
      </c>
      <c r="O976" s="35" t="s">
        <v>26</v>
      </c>
    </row>
    <row r="977" spans="1:15" ht="13" hidden="1">
      <c r="A977" s="33">
        <v>43973.329167002317</v>
      </c>
      <c r="B977" s="35" t="s">
        <v>8321</v>
      </c>
      <c r="C977" s="35" t="s">
        <v>8322</v>
      </c>
      <c r="D977" s="35" t="s">
        <v>8323</v>
      </c>
      <c r="E977" s="38" t="s">
        <v>8324</v>
      </c>
      <c r="G977" s="35" t="s">
        <v>278</v>
      </c>
      <c r="H977" s="35" t="s">
        <v>126</v>
      </c>
      <c r="I977" s="35" t="s">
        <v>8326</v>
      </c>
      <c r="J977" s="35" t="s">
        <v>35</v>
      </c>
      <c r="K977" s="35" t="s">
        <v>8327</v>
      </c>
      <c r="M977" s="35" t="s">
        <v>83</v>
      </c>
      <c r="N977" s="35" t="s">
        <v>8329</v>
      </c>
      <c r="O977" s="35" t="s">
        <v>26</v>
      </c>
    </row>
    <row r="978" spans="1:15" ht="13" hidden="1">
      <c r="A978" s="33">
        <v>43973.363382881944</v>
      </c>
      <c r="B978" s="35" t="s">
        <v>8330</v>
      </c>
      <c r="C978" s="35" t="s">
        <v>8331</v>
      </c>
      <c r="D978" s="35" t="s">
        <v>8332</v>
      </c>
      <c r="E978" s="38" t="s">
        <v>8333</v>
      </c>
      <c r="G978" s="35" t="s">
        <v>8335</v>
      </c>
      <c r="H978" s="35" t="s">
        <v>46</v>
      </c>
      <c r="I978" s="35" t="s">
        <v>425</v>
      </c>
      <c r="J978" s="35" t="s">
        <v>81</v>
      </c>
      <c r="M978" s="35" t="s">
        <v>83</v>
      </c>
      <c r="O978" s="35" t="s">
        <v>26</v>
      </c>
    </row>
    <row r="979" spans="1:15" ht="13" hidden="1">
      <c r="A979" s="33">
        <v>43973.403776273146</v>
      </c>
      <c r="B979" s="35" t="s">
        <v>8336</v>
      </c>
      <c r="C979" s="35" t="s">
        <v>8337</v>
      </c>
      <c r="D979" s="35" t="s">
        <v>8338</v>
      </c>
      <c r="E979" s="38" t="s">
        <v>8339</v>
      </c>
      <c r="G979" s="35" t="s">
        <v>8341</v>
      </c>
      <c r="H979" s="35" t="s">
        <v>46</v>
      </c>
      <c r="I979" s="35" t="s">
        <v>8342</v>
      </c>
      <c r="J979" s="35" t="s">
        <v>104</v>
      </c>
      <c r="M979" s="35" t="s">
        <v>67</v>
      </c>
      <c r="N979" s="35" t="s">
        <v>304</v>
      </c>
      <c r="O979" s="35" t="s">
        <v>26</v>
      </c>
    </row>
    <row r="980" spans="1:15" ht="13" hidden="1">
      <c r="A980" s="33">
        <v>43973.82095814815</v>
      </c>
      <c r="B980" s="35" t="s">
        <v>8344</v>
      </c>
      <c r="C980" s="35" t="s">
        <v>40</v>
      </c>
      <c r="D980" s="35" t="s">
        <v>8345</v>
      </c>
      <c r="E980" s="38" t="s">
        <v>7040</v>
      </c>
      <c r="G980" s="35" t="s">
        <v>8349</v>
      </c>
      <c r="H980" s="35" t="s">
        <v>506</v>
      </c>
      <c r="I980" s="35" t="s">
        <v>8350</v>
      </c>
      <c r="J980" s="35" t="s">
        <v>81</v>
      </c>
      <c r="M980" s="35" t="s">
        <v>83</v>
      </c>
      <c r="O980" s="35" t="s">
        <v>26</v>
      </c>
    </row>
    <row r="981" spans="1:15" ht="13" hidden="1">
      <c r="A981" s="33">
        <v>43973.940444097221</v>
      </c>
      <c r="B981" s="35" t="s">
        <v>8352</v>
      </c>
      <c r="C981" s="35" t="s">
        <v>4740</v>
      </c>
      <c r="D981" s="35" t="s">
        <v>8353</v>
      </c>
      <c r="E981" s="35" t="s">
        <v>8354</v>
      </c>
      <c r="G981" s="35" t="s">
        <v>8355</v>
      </c>
      <c r="H981" s="35" t="s">
        <v>46</v>
      </c>
      <c r="I981" s="35" t="s">
        <v>8356</v>
      </c>
      <c r="J981" s="35" t="s">
        <v>48</v>
      </c>
      <c r="K981" s="35" t="s">
        <v>8357</v>
      </c>
      <c r="L981" s="35" t="s">
        <v>8358</v>
      </c>
      <c r="M981" s="35" t="s">
        <v>83</v>
      </c>
      <c r="O981" s="35" t="s">
        <v>26</v>
      </c>
    </row>
    <row r="982" spans="1:15" ht="13">
      <c r="A982" s="33">
        <v>43974.383735856478</v>
      </c>
      <c r="B982" s="35" t="s">
        <v>9552</v>
      </c>
      <c r="C982" s="324" t="s">
        <v>9553</v>
      </c>
      <c r="D982" s="324" t="s">
        <v>6286</v>
      </c>
      <c r="E982" s="323" t="s">
        <v>9554</v>
      </c>
      <c r="F982" s="327"/>
      <c r="G982" s="324" t="s">
        <v>9550</v>
      </c>
      <c r="H982" s="324" t="s">
        <v>33</v>
      </c>
      <c r="I982" s="324" t="s">
        <v>9546</v>
      </c>
      <c r="J982" s="324" t="s">
        <v>48</v>
      </c>
      <c r="K982" s="327"/>
      <c r="M982" s="324" t="s">
        <v>83</v>
      </c>
      <c r="N982" s="324" t="s">
        <v>9551</v>
      </c>
      <c r="O982" s="35" t="s">
        <v>26</v>
      </c>
    </row>
    <row r="983" spans="1:15" ht="13" hidden="1">
      <c r="A983" s="33">
        <v>43974.509718159723</v>
      </c>
      <c r="B983" s="35" t="s">
        <v>8364</v>
      </c>
      <c r="C983" s="35" t="s">
        <v>8365</v>
      </c>
      <c r="D983" s="35" t="s">
        <v>8366</v>
      </c>
      <c r="E983" s="38" t="s">
        <v>8367</v>
      </c>
      <c r="G983" s="35" t="s">
        <v>32</v>
      </c>
      <c r="H983" s="35" t="s">
        <v>126</v>
      </c>
      <c r="I983" s="35" t="s">
        <v>8368</v>
      </c>
      <c r="J983" s="35" t="s">
        <v>48</v>
      </c>
      <c r="M983" s="35" t="s">
        <v>83</v>
      </c>
      <c r="O983" s="35" t="s">
        <v>26</v>
      </c>
    </row>
    <row r="984" spans="1:15" ht="13" hidden="1">
      <c r="A984" s="33">
        <v>43975.262549710649</v>
      </c>
      <c r="B984" s="35" t="s">
        <v>8370</v>
      </c>
      <c r="C984" s="35" t="s">
        <v>938</v>
      </c>
      <c r="D984" s="35" t="s">
        <v>8371</v>
      </c>
      <c r="E984" s="38" t="s">
        <v>8372</v>
      </c>
      <c r="G984" s="35" t="s">
        <v>336</v>
      </c>
      <c r="H984" s="35" t="s">
        <v>8373</v>
      </c>
      <c r="I984" s="35" t="s">
        <v>8374</v>
      </c>
      <c r="J984" s="35" t="s">
        <v>48</v>
      </c>
      <c r="M984" s="35" t="s">
        <v>83</v>
      </c>
      <c r="N984" s="35" t="s">
        <v>2994</v>
      </c>
      <c r="O984" s="35" t="s">
        <v>26</v>
      </c>
    </row>
    <row r="985" spans="1:15" ht="13" hidden="1">
      <c r="A985" s="33">
        <v>43975.942662881949</v>
      </c>
      <c r="B985" s="35" t="s">
        <v>8375</v>
      </c>
      <c r="C985" s="35" t="s">
        <v>8377</v>
      </c>
      <c r="D985" s="35" t="s">
        <v>8378</v>
      </c>
      <c r="E985" s="38" t="s">
        <v>8379</v>
      </c>
      <c r="G985" s="35" t="s">
        <v>102</v>
      </c>
      <c r="H985" s="35" t="s">
        <v>387</v>
      </c>
      <c r="I985" s="35" t="s">
        <v>8383</v>
      </c>
      <c r="J985" s="35" t="s">
        <v>48</v>
      </c>
      <c r="M985" s="35" t="s">
        <v>83</v>
      </c>
      <c r="N985" s="35" t="s">
        <v>8385</v>
      </c>
      <c r="O985" s="35" t="s">
        <v>26</v>
      </c>
    </row>
    <row r="986" spans="1:15" ht="13" hidden="1">
      <c r="A986" s="33">
        <v>43975.956569155096</v>
      </c>
      <c r="B986" s="35" t="s">
        <v>8386</v>
      </c>
      <c r="C986" s="35" t="s">
        <v>8387</v>
      </c>
      <c r="D986" s="35" t="s">
        <v>8247</v>
      </c>
      <c r="E986" s="38" t="s">
        <v>8388</v>
      </c>
      <c r="G986" s="35" t="s">
        <v>8389</v>
      </c>
      <c r="H986" s="35" t="s">
        <v>126</v>
      </c>
      <c r="I986" s="35" t="s">
        <v>8390</v>
      </c>
      <c r="J986" s="35" t="s">
        <v>35</v>
      </c>
      <c r="K986" s="35" t="s">
        <v>8390</v>
      </c>
      <c r="M986" s="35" t="s">
        <v>83</v>
      </c>
      <c r="O986" s="35" t="s">
        <v>26</v>
      </c>
    </row>
    <row r="987" spans="1:15" ht="13">
      <c r="A987" s="33">
        <v>43975.998722187505</v>
      </c>
      <c r="B987" s="35" t="s">
        <v>9548</v>
      </c>
      <c r="C987" s="324" t="s">
        <v>9549</v>
      </c>
      <c r="D987" s="324" t="s">
        <v>6286</v>
      </c>
      <c r="E987" s="323" t="s">
        <v>6756</v>
      </c>
      <c r="F987" s="327"/>
      <c r="G987" s="324" t="s">
        <v>9550</v>
      </c>
      <c r="H987" s="324" t="s">
        <v>33</v>
      </c>
      <c r="I987" s="324" t="s">
        <v>9546</v>
      </c>
      <c r="J987" s="324" t="s">
        <v>48</v>
      </c>
      <c r="K987" s="327"/>
      <c r="L987" s="327"/>
      <c r="M987" s="324" t="s">
        <v>83</v>
      </c>
      <c r="N987" s="324" t="s">
        <v>9551</v>
      </c>
      <c r="O987" s="35" t="s">
        <v>26</v>
      </c>
    </row>
    <row r="988" spans="1:15" ht="13" hidden="1">
      <c r="A988" s="33">
        <v>43976.033629351849</v>
      </c>
      <c r="B988" s="35" t="s">
        <v>8397</v>
      </c>
      <c r="C988" s="35" t="s">
        <v>8398</v>
      </c>
      <c r="D988" s="35" t="s">
        <v>7992</v>
      </c>
      <c r="E988" s="38" t="s">
        <v>8399</v>
      </c>
      <c r="G988" s="35" t="s">
        <v>161</v>
      </c>
      <c r="H988" s="35" t="s">
        <v>387</v>
      </c>
      <c r="I988" s="35" t="s">
        <v>8401</v>
      </c>
      <c r="J988" s="35" t="s">
        <v>48</v>
      </c>
      <c r="K988" s="35" t="s">
        <v>8402</v>
      </c>
      <c r="L988" s="35" t="s">
        <v>8403</v>
      </c>
      <c r="M988" s="35" t="s">
        <v>83</v>
      </c>
      <c r="N988" s="35" t="s">
        <v>1420</v>
      </c>
      <c r="O988" s="35" t="s">
        <v>26</v>
      </c>
    </row>
    <row r="989" spans="1:15" ht="13">
      <c r="A989" s="33">
        <v>43976.151182858797</v>
      </c>
      <c r="B989" s="35" t="s">
        <v>9085</v>
      </c>
      <c r="C989" s="35" t="s">
        <v>9086</v>
      </c>
      <c r="D989" s="35" t="s">
        <v>9087</v>
      </c>
      <c r="E989" s="38" t="s">
        <v>9088</v>
      </c>
      <c r="F989" s="327"/>
      <c r="G989" s="35" t="s">
        <v>63</v>
      </c>
      <c r="H989" s="35" t="s">
        <v>33</v>
      </c>
      <c r="I989" s="35" t="s">
        <v>9089</v>
      </c>
      <c r="J989" s="35" t="s">
        <v>48</v>
      </c>
      <c r="K989" s="327"/>
      <c r="L989" s="327"/>
      <c r="M989" s="35" t="s">
        <v>83</v>
      </c>
      <c r="N989" s="327"/>
      <c r="O989" s="35" t="s">
        <v>26</v>
      </c>
    </row>
    <row r="990" spans="1:15" ht="13" hidden="1">
      <c r="A990" s="33">
        <v>43976.423897002314</v>
      </c>
      <c r="B990" s="35" t="s">
        <v>8410</v>
      </c>
      <c r="C990" s="35" t="s">
        <v>8411</v>
      </c>
      <c r="D990" s="35" t="s">
        <v>8412</v>
      </c>
      <c r="E990" s="38" t="s">
        <v>8413</v>
      </c>
      <c r="G990" s="35" t="s">
        <v>931</v>
      </c>
      <c r="H990" s="35" t="s">
        <v>46</v>
      </c>
      <c r="I990" s="35" t="s">
        <v>8417</v>
      </c>
      <c r="J990" s="35" t="s">
        <v>48</v>
      </c>
      <c r="K990" s="35" t="s">
        <v>8418</v>
      </c>
      <c r="L990" s="35" t="s">
        <v>8419</v>
      </c>
      <c r="M990" s="35" t="s">
        <v>83</v>
      </c>
      <c r="N990" s="35" t="s">
        <v>8420</v>
      </c>
      <c r="O990" s="35" t="s">
        <v>26</v>
      </c>
    </row>
    <row r="991" spans="1:15" ht="13" hidden="1">
      <c r="A991" s="33">
        <v>43976.814946956016</v>
      </c>
      <c r="B991" s="35" t="s">
        <v>8422</v>
      </c>
      <c r="C991" s="35" t="s">
        <v>8423</v>
      </c>
      <c r="D991" s="35" t="s">
        <v>8424</v>
      </c>
      <c r="E991" s="38" t="s">
        <v>8425</v>
      </c>
      <c r="G991" s="35" t="s">
        <v>363</v>
      </c>
      <c r="H991" s="35" t="s">
        <v>46</v>
      </c>
      <c r="I991" s="35" t="s">
        <v>425</v>
      </c>
      <c r="J991" s="35" t="s">
        <v>48</v>
      </c>
      <c r="M991" s="35" t="s">
        <v>67</v>
      </c>
      <c r="N991" s="35" t="s">
        <v>92</v>
      </c>
      <c r="O991" s="35" t="s">
        <v>26</v>
      </c>
    </row>
    <row r="992" spans="1:15" ht="13">
      <c r="A992" s="33">
        <v>43977.029669629628</v>
      </c>
      <c r="B992" s="35" t="s">
        <v>6753</v>
      </c>
      <c r="C992" s="35" t="s">
        <v>6754</v>
      </c>
      <c r="D992" s="35" t="s">
        <v>6286</v>
      </c>
      <c r="E992" s="38" t="s">
        <v>6756</v>
      </c>
      <c r="G992" s="35" t="s">
        <v>1739</v>
      </c>
      <c r="H992" s="35" t="s">
        <v>33</v>
      </c>
      <c r="I992" s="35" t="s">
        <v>6759</v>
      </c>
      <c r="J992" s="35" t="s">
        <v>104</v>
      </c>
      <c r="M992" s="35" t="s">
        <v>67</v>
      </c>
      <c r="N992" s="327"/>
      <c r="O992" s="35" t="s">
        <v>26</v>
      </c>
    </row>
    <row r="993" spans="1:15" ht="13" hidden="1">
      <c r="A993" s="33">
        <v>43977.102449988422</v>
      </c>
      <c r="B993" s="35" t="s">
        <v>8429</v>
      </c>
      <c r="C993" s="35" t="s">
        <v>8430</v>
      </c>
      <c r="D993" s="35" t="s">
        <v>7609</v>
      </c>
      <c r="E993" s="35" t="s">
        <v>8431</v>
      </c>
      <c r="G993" s="35" t="s">
        <v>1030</v>
      </c>
      <c r="H993" s="35" t="s">
        <v>126</v>
      </c>
      <c r="I993" s="35" t="s">
        <v>8432</v>
      </c>
      <c r="J993" s="35" t="s">
        <v>48</v>
      </c>
      <c r="K993" s="35" t="s">
        <v>8433</v>
      </c>
      <c r="L993" s="35" t="s">
        <v>8434</v>
      </c>
      <c r="M993" s="35" t="s">
        <v>83</v>
      </c>
      <c r="N993" s="35" t="s">
        <v>1112</v>
      </c>
      <c r="O993" s="35" t="s">
        <v>26</v>
      </c>
    </row>
    <row r="994" spans="1:15" ht="13" hidden="1">
      <c r="A994" s="33">
        <v>43977.240809965282</v>
      </c>
      <c r="B994" s="35" t="s">
        <v>8435</v>
      </c>
      <c r="C994" s="35" t="s">
        <v>1852</v>
      </c>
      <c r="D994" s="38" t="s">
        <v>8436</v>
      </c>
      <c r="E994" s="38" t="s">
        <v>8444</v>
      </c>
      <c r="G994" s="35" t="s">
        <v>32</v>
      </c>
      <c r="H994" s="35" t="s">
        <v>126</v>
      </c>
      <c r="I994" s="35" t="s">
        <v>3627</v>
      </c>
      <c r="J994" s="35" t="s">
        <v>48</v>
      </c>
      <c r="L994" s="35" t="s">
        <v>8445</v>
      </c>
      <c r="M994" s="35" t="s">
        <v>83</v>
      </c>
      <c r="N994" s="35" t="s">
        <v>8446</v>
      </c>
      <c r="O994" s="35" t="s">
        <v>26</v>
      </c>
    </row>
    <row r="995" spans="1:15" ht="13">
      <c r="A995" s="33">
        <v>43977.372966539348</v>
      </c>
      <c r="B995" s="35" t="s">
        <v>2078</v>
      </c>
      <c r="C995" s="35" t="s">
        <v>2079</v>
      </c>
      <c r="D995" s="35" t="s">
        <v>2080</v>
      </c>
      <c r="E995" s="38" t="s">
        <v>2081</v>
      </c>
      <c r="F995" s="328" t="s">
        <v>2082</v>
      </c>
      <c r="G995" s="35" t="s">
        <v>63</v>
      </c>
      <c r="H995" s="35" t="s">
        <v>33</v>
      </c>
      <c r="I995" s="35" t="s">
        <v>2083</v>
      </c>
      <c r="J995" s="35" t="s">
        <v>48</v>
      </c>
      <c r="K995" s="327"/>
      <c r="L995" s="327"/>
      <c r="M995" s="35" t="s">
        <v>67</v>
      </c>
      <c r="N995" s="327"/>
      <c r="O995" s="35" t="s">
        <v>26</v>
      </c>
    </row>
    <row r="996" spans="1:15" ht="13">
      <c r="A996" s="33">
        <v>43977.813651296296</v>
      </c>
      <c r="B996" s="328" t="s">
        <v>2413</v>
      </c>
      <c r="C996" s="328" t="s">
        <v>2414</v>
      </c>
      <c r="D996" s="328" t="s">
        <v>2415</v>
      </c>
      <c r="E996" s="38" t="s">
        <v>2416</v>
      </c>
      <c r="F996" s="328" t="s">
        <v>2417</v>
      </c>
      <c r="G996" s="328" t="s">
        <v>161</v>
      </c>
      <c r="H996" s="328" t="s">
        <v>33</v>
      </c>
      <c r="I996" s="328" t="s">
        <v>2418</v>
      </c>
      <c r="J996" s="328" t="s">
        <v>48</v>
      </c>
      <c r="K996" s="328" t="s">
        <v>2419</v>
      </c>
      <c r="L996" s="327"/>
      <c r="M996" s="328" t="s">
        <v>83</v>
      </c>
      <c r="N996" s="327"/>
      <c r="O996" s="35" t="s">
        <v>26</v>
      </c>
    </row>
    <row r="997" spans="1:15" ht="13" hidden="1">
      <c r="A997" s="33">
        <v>43977.834941284724</v>
      </c>
      <c r="B997" s="35" t="s">
        <v>8460</v>
      </c>
      <c r="C997" s="35" t="s">
        <v>8461</v>
      </c>
      <c r="D997" s="35" t="s">
        <v>8462</v>
      </c>
      <c r="E997" s="38" t="s">
        <v>8463</v>
      </c>
      <c r="G997" s="35" t="s">
        <v>296</v>
      </c>
      <c r="H997" s="35" t="s">
        <v>399</v>
      </c>
      <c r="I997" s="35" t="s">
        <v>8319</v>
      </c>
      <c r="J997" s="35" t="s">
        <v>48</v>
      </c>
      <c r="K997" s="35" t="s">
        <v>8465</v>
      </c>
      <c r="L997" s="35" t="s">
        <v>8466</v>
      </c>
      <c r="M997" s="35" t="s">
        <v>67</v>
      </c>
      <c r="N997" s="35" t="s">
        <v>8468</v>
      </c>
      <c r="O997" s="35" t="s">
        <v>26</v>
      </c>
    </row>
    <row r="998" spans="1:15" ht="13" hidden="1">
      <c r="A998" s="33">
        <v>43977.984129178236</v>
      </c>
      <c r="B998" s="35" t="s">
        <v>8470</v>
      </c>
      <c r="C998" s="35" t="s">
        <v>8471</v>
      </c>
      <c r="D998" s="35" t="s">
        <v>1153</v>
      </c>
      <c r="E998" s="38" t="s">
        <v>8472</v>
      </c>
      <c r="G998" s="35" t="s">
        <v>505</v>
      </c>
      <c r="H998" s="35" t="s">
        <v>399</v>
      </c>
      <c r="I998" s="35" t="s">
        <v>8473</v>
      </c>
      <c r="J998" s="35" t="s">
        <v>48</v>
      </c>
      <c r="K998" s="35" t="s">
        <v>8474</v>
      </c>
      <c r="M998" s="35" t="s">
        <v>83</v>
      </c>
      <c r="O998" s="35" t="s">
        <v>26</v>
      </c>
    </row>
    <row r="999" spans="1:15" ht="13" hidden="1">
      <c r="A999" s="33">
        <v>43977.988643842589</v>
      </c>
      <c r="B999" s="35" t="s">
        <v>8475</v>
      </c>
      <c r="C999" s="35" t="s">
        <v>8476</v>
      </c>
      <c r="D999" s="35" t="s">
        <v>1153</v>
      </c>
      <c r="E999" s="38" t="s">
        <v>8477</v>
      </c>
      <c r="G999" s="35" t="s">
        <v>6072</v>
      </c>
      <c r="H999" s="35" t="s">
        <v>399</v>
      </c>
      <c r="I999" s="35" t="s">
        <v>8481</v>
      </c>
      <c r="J999" s="35" t="s">
        <v>104</v>
      </c>
      <c r="K999" s="35" t="s">
        <v>8482</v>
      </c>
      <c r="M999" s="35" t="s">
        <v>83</v>
      </c>
      <c r="O999" s="35" t="s">
        <v>26</v>
      </c>
    </row>
    <row r="1000" spans="1:15" ht="13">
      <c r="A1000" s="33">
        <v>43978.017626064815</v>
      </c>
      <c r="B1000" s="35" t="s">
        <v>4949</v>
      </c>
      <c r="C1000" s="35" t="s">
        <v>4950</v>
      </c>
      <c r="D1000" s="35" t="s">
        <v>3382</v>
      </c>
      <c r="E1000" s="38" t="s">
        <v>4951</v>
      </c>
      <c r="F1000" s="328" t="s">
        <v>4953</v>
      </c>
      <c r="G1000" s="35" t="s">
        <v>505</v>
      </c>
      <c r="H1000" s="35" t="s">
        <v>33</v>
      </c>
      <c r="I1000" s="38" t="s">
        <v>4951</v>
      </c>
      <c r="J1000" s="35" t="s">
        <v>48</v>
      </c>
      <c r="K1000" s="327"/>
      <c r="M1000" s="35" t="s">
        <v>67</v>
      </c>
      <c r="O1000" s="35" t="s">
        <v>26</v>
      </c>
    </row>
    <row r="1001" spans="1:15" ht="13" hidden="1">
      <c r="A1001" s="33">
        <v>43978.02730530093</v>
      </c>
      <c r="B1001" s="35" t="s">
        <v>8490</v>
      </c>
      <c r="C1001" s="35" t="s">
        <v>8491</v>
      </c>
      <c r="D1001" s="35" t="s">
        <v>7823</v>
      </c>
      <c r="E1001" s="38" t="s">
        <v>8492</v>
      </c>
      <c r="G1001" s="35" t="s">
        <v>709</v>
      </c>
      <c r="H1001" s="35" t="s">
        <v>399</v>
      </c>
      <c r="I1001" s="35" t="s">
        <v>8495</v>
      </c>
      <c r="J1001" s="35" t="s">
        <v>48</v>
      </c>
      <c r="K1001" s="35" t="s">
        <v>8496</v>
      </c>
      <c r="M1001" s="35" t="s">
        <v>83</v>
      </c>
      <c r="O1001" s="35" t="s">
        <v>26</v>
      </c>
    </row>
    <row r="1002" spans="1:15" ht="13">
      <c r="A1002" s="33">
        <v>43978.231923009254</v>
      </c>
      <c r="B1002" s="35" t="s">
        <v>6936</v>
      </c>
      <c r="C1002" s="35" t="s">
        <v>6937</v>
      </c>
      <c r="D1002" s="328" t="s">
        <v>6938</v>
      </c>
      <c r="E1002" s="38" t="s">
        <v>6939</v>
      </c>
      <c r="F1002" s="327"/>
      <c r="G1002" s="35" t="s">
        <v>709</v>
      </c>
      <c r="H1002" s="35" t="s">
        <v>33</v>
      </c>
      <c r="I1002" s="35" t="s">
        <v>6940</v>
      </c>
      <c r="J1002" s="35" t="s">
        <v>48</v>
      </c>
      <c r="K1002" s="327"/>
      <c r="L1002" s="327"/>
      <c r="M1002" s="35" t="s">
        <v>83</v>
      </c>
      <c r="N1002" s="327"/>
      <c r="O1002" s="35" t="s">
        <v>26</v>
      </c>
    </row>
    <row r="1003" spans="1:15" ht="13" hidden="1">
      <c r="A1003" s="33">
        <v>43978.280060277779</v>
      </c>
      <c r="B1003" s="35" t="s">
        <v>8506</v>
      </c>
      <c r="C1003" s="35" t="s">
        <v>8507</v>
      </c>
      <c r="D1003" s="35" t="s">
        <v>8317</v>
      </c>
      <c r="E1003" s="38" t="s">
        <v>8508</v>
      </c>
      <c r="G1003" s="35" t="s">
        <v>32</v>
      </c>
      <c r="H1003" s="35" t="s">
        <v>8509</v>
      </c>
      <c r="I1003" s="35" t="s">
        <v>3324</v>
      </c>
      <c r="J1003" s="35" t="s">
        <v>48</v>
      </c>
      <c r="M1003" s="35" t="s">
        <v>67</v>
      </c>
      <c r="O1003" s="35" t="s">
        <v>26</v>
      </c>
    </row>
    <row r="1004" spans="1:15" ht="28">
      <c r="A1004" s="33">
        <v>43978.940702083331</v>
      </c>
      <c r="B1004" s="313" t="s">
        <v>9321</v>
      </c>
      <c r="C1004" s="308" t="s">
        <v>9322</v>
      </c>
      <c r="D1004" s="313" t="s">
        <v>87</v>
      </c>
      <c r="E1004" s="312" t="s">
        <v>9323</v>
      </c>
      <c r="F1004" s="313"/>
      <c r="G1004" s="313" t="s">
        <v>214</v>
      </c>
      <c r="H1004" s="313" t="s">
        <v>33</v>
      </c>
      <c r="I1004" s="313" t="s">
        <v>2959</v>
      </c>
      <c r="J1004" s="313"/>
      <c r="K1004" s="313"/>
      <c r="L1004" s="313"/>
      <c r="M1004" s="313"/>
      <c r="N1004" s="313"/>
      <c r="O1004" s="35" t="s">
        <v>26</v>
      </c>
    </row>
    <row r="1005" spans="1:15" ht="13">
      <c r="A1005" s="33">
        <v>43979.051906365741</v>
      </c>
      <c r="B1005" s="35" t="s">
        <v>4330</v>
      </c>
      <c r="C1005" s="35" t="s">
        <v>40</v>
      </c>
      <c r="D1005" s="35" t="s">
        <v>4331</v>
      </c>
      <c r="E1005" s="38" t="s">
        <v>4332</v>
      </c>
      <c r="F1005" s="328" t="s">
        <v>4333</v>
      </c>
      <c r="G1005" s="35" t="s">
        <v>77</v>
      </c>
      <c r="H1005" s="35" t="s">
        <v>33</v>
      </c>
      <c r="I1005" s="35" t="s">
        <v>4334</v>
      </c>
      <c r="J1005" s="35" t="s">
        <v>81</v>
      </c>
      <c r="K1005" s="328" t="s">
        <v>4335</v>
      </c>
      <c r="M1005" s="35" t="s">
        <v>83</v>
      </c>
      <c r="N1005" s="327"/>
      <c r="O1005" s="35" t="s">
        <v>26</v>
      </c>
    </row>
    <row r="1006" spans="1:15" ht="13" hidden="1">
      <c r="A1006" s="33">
        <v>43979.090327615741</v>
      </c>
      <c r="B1006" s="35" t="s">
        <v>8524</v>
      </c>
      <c r="C1006" s="35" t="s">
        <v>211</v>
      </c>
      <c r="D1006" s="35" t="s">
        <v>8206</v>
      </c>
      <c r="E1006" s="38" t="s">
        <v>8525</v>
      </c>
      <c r="G1006" s="35" t="s">
        <v>739</v>
      </c>
      <c r="H1006" s="35" t="s">
        <v>46</v>
      </c>
      <c r="I1006" s="35" t="s">
        <v>8527</v>
      </c>
      <c r="J1006" s="35" t="s">
        <v>48</v>
      </c>
      <c r="M1006" s="35" t="s">
        <v>67</v>
      </c>
      <c r="N1006" s="35" t="s">
        <v>3791</v>
      </c>
      <c r="O1006" s="35" t="s">
        <v>26</v>
      </c>
    </row>
    <row r="1007" spans="1:15" ht="13" hidden="1">
      <c r="A1007" s="33">
        <v>43979.199401331018</v>
      </c>
      <c r="B1007" s="35" t="s">
        <v>8528</v>
      </c>
      <c r="C1007" s="35" t="s">
        <v>8529</v>
      </c>
      <c r="D1007" s="35" t="s">
        <v>8530</v>
      </c>
      <c r="E1007" s="38" t="s">
        <v>8531</v>
      </c>
      <c r="G1007" s="35" t="s">
        <v>8532</v>
      </c>
      <c r="H1007" s="35" t="s">
        <v>46</v>
      </c>
      <c r="I1007" s="35" t="s">
        <v>8533</v>
      </c>
      <c r="J1007" s="35" t="s">
        <v>48</v>
      </c>
      <c r="M1007" s="35" t="s">
        <v>67</v>
      </c>
      <c r="N1007" s="35" t="s">
        <v>8534</v>
      </c>
      <c r="O1007" s="35" t="s">
        <v>26</v>
      </c>
    </row>
    <row r="1008" spans="1:15" ht="13">
      <c r="A1008" s="33">
        <v>43979.306808634261</v>
      </c>
      <c r="B1008" s="328" t="s">
        <v>6840</v>
      </c>
      <c r="C1008" s="328" t="s">
        <v>6842</v>
      </c>
      <c r="D1008" s="328" t="s">
        <v>6843</v>
      </c>
      <c r="E1008" s="38" t="s">
        <v>6844</v>
      </c>
      <c r="F1008" s="327"/>
      <c r="G1008" s="328" t="s">
        <v>996</v>
      </c>
      <c r="H1008" s="328" t="s">
        <v>33</v>
      </c>
      <c r="I1008" s="38" t="s">
        <v>6845</v>
      </c>
      <c r="J1008" s="328" t="s">
        <v>104</v>
      </c>
      <c r="K1008" s="327"/>
      <c r="L1008" s="327"/>
      <c r="M1008" s="328" t="s">
        <v>67</v>
      </c>
      <c r="N1008" s="328" t="s">
        <v>67</v>
      </c>
      <c r="O1008" s="35" t="s">
        <v>26</v>
      </c>
    </row>
    <row r="1009" spans="1:15" ht="13">
      <c r="A1009" s="33">
        <v>43980.101910752317</v>
      </c>
      <c r="B1009" s="35" t="s">
        <v>8517</v>
      </c>
      <c r="C1009" s="35" t="s">
        <v>8518</v>
      </c>
      <c r="D1009" s="35" t="s">
        <v>5116</v>
      </c>
      <c r="E1009" s="38" t="s">
        <v>8519</v>
      </c>
      <c r="F1009" s="327"/>
      <c r="G1009" s="35" t="s">
        <v>8520</v>
      </c>
      <c r="H1009" s="35" t="s">
        <v>33</v>
      </c>
      <c r="I1009" s="35" t="s">
        <v>8521</v>
      </c>
      <c r="J1009" s="35" t="s">
        <v>35</v>
      </c>
      <c r="K1009" s="35" t="s">
        <v>8522</v>
      </c>
      <c r="L1009" s="327"/>
      <c r="M1009" s="35" t="s">
        <v>83</v>
      </c>
      <c r="N1009" s="328" t="s">
        <v>8523</v>
      </c>
      <c r="O1009" s="35" t="s">
        <v>26</v>
      </c>
    </row>
    <row r="1010" spans="1:15" ht="13" hidden="1">
      <c r="A1010" s="33">
        <v>43980.183147071759</v>
      </c>
      <c r="B1010" s="35" t="s">
        <v>8552</v>
      </c>
      <c r="C1010" s="35" t="s">
        <v>8553</v>
      </c>
      <c r="D1010" s="35" t="s">
        <v>8554</v>
      </c>
      <c r="E1010" s="35" t="s">
        <v>8552</v>
      </c>
      <c r="G1010" s="35" t="s">
        <v>8555</v>
      </c>
      <c r="H1010" s="35" t="s">
        <v>8556</v>
      </c>
      <c r="I1010" s="35" t="s">
        <v>8557</v>
      </c>
      <c r="J1010" s="35" t="s">
        <v>81</v>
      </c>
      <c r="K1010" s="35" t="s">
        <v>8558</v>
      </c>
      <c r="M1010" s="35" t="s">
        <v>83</v>
      </c>
      <c r="N1010" s="35" t="s">
        <v>8559</v>
      </c>
      <c r="O1010" s="35" t="s">
        <v>26</v>
      </c>
    </row>
    <row r="1011" spans="1:15" ht="13" hidden="1">
      <c r="A1011" s="33">
        <v>43980.244212881946</v>
      </c>
      <c r="B1011" s="35" t="s">
        <v>8560</v>
      </c>
      <c r="C1011" s="35" t="s">
        <v>1537</v>
      </c>
      <c r="D1011" s="35" t="s">
        <v>8561</v>
      </c>
      <c r="E1011" s="38" t="s">
        <v>8562</v>
      </c>
      <c r="G1011" s="35" t="s">
        <v>8563</v>
      </c>
      <c r="H1011" s="35" t="s">
        <v>126</v>
      </c>
      <c r="I1011" s="35" t="s">
        <v>8319</v>
      </c>
      <c r="J1011" s="35" t="s">
        <v>48</v>
      </c>
      <c r="M1011" s="35" t="s">
        <v>67</v>
      </c>
      <c r="O1011" s="35" t="s">
        <v>26</v>
      </c>
    </row>
    <row r="1012" spans="1:15" ht="13">
      <c r="A1012" s="33">
        <v>43981.095985138891</v>
      </c>
      <c r="B1012" s="35" t="s">
        <v>5936</v>
      </c>
      <c r="C1012" s="35" t="s">
        <v>5937</v>
      </c>
      <c r="D1012" s="35" t="s">
        <v>5938</v>
      </c>
      <c r="E1012" s="38" t="s">
        <v>5939</v>
      </c>
      <c r="F1012" s="328" t="s">
        <v>5940</v>
      </c>
      <c r="G1012" s="35" t="s">
        <v>3259</v>
      </c>
      <c r="H1012" s="35" t="s">
        <v>33</v>
      </c>
      <c r="I1012" s="35" t="s">
        <v>5941</v>
      </c>
      <c r="J1012" s="35" t="s">
        <v>48</v>
      </c>
      <c r="K1012" s="327"/>
      <c r="L1012" s="327"/>
      <c r="M1012" s="35" t="s">
        <v>83</v>
      </c>
      <c r="O1012" s="35" t="s">
        <v>26</v>
      </c>
    </row>
    <row r="1013" spans="1:15" ht="13" hidden="1">
      <c r="A1013" s="33">
        <v>43982.757883506943</v>
      </c>
      <c r="B1013" s="35" t="s">
        <v>8569</v>
      </c>
      <c r="C1013" s="35" t="s">
        <v>8570</v>
      </c>
      <c r="D1013" s="35" t="s">
        <v>7557</v>
      </c>
      <c r="E1013" s="38" t="s">
        <v>8571</v>
      </c>
      <c r="G1013" s="35" t="s">
        <v>220</v>
      </c>
      <c r="H1013" s="35" t="s">
        <v>46</v>
      </c>
      <c r="I1013" s="35" t="s">
        <v>8573</v>
      </c>
      <c r="J1013" s="35" t="s">
        <v>104</v>
      </c>
      <c r="K1013" s="35" t="s">
        <v>8574</v>
      </c>
      <c r="L1013" s="35" t="s">
        <v>8575</v>
      </c>
      <c r="M1013" s="35" t="s">
        <v>83</v>
      </c>
      <c r="N1013" s="35" t="s">
        <v>92</v>
      </c>
      <c r="O1013" s="35" t="s">
        <v>26</v>
      </c>
    </row>
    <row r="1014" spans="1:15" ht="13" hidden="1">
      <c r="A1014" s="33">
        <v>43983.063351516204</v>
      </c>
      <c r="B1014" s="35" t="s">
        <v>8577</v>
      </c>
      <c r="C1014" s="35" t="s">
        <v>8578</v>
      </c>
      <c r="D1014" s="35" t="s">
        <v>8579</v>
      </c>
      <c r="E1014" s="38" t="s">
        <v>8581</v>
      </c>
      <c r="G1014" s="35" t="s">
        <v>2299</v>
      </c>
      <c r="H1014" s="35" t="s">
        <v>46</v>
      </c>
      <c r="I1014" s="35" t="s">
        <v>8585</v>
      </c>
      <c r="J1014" s="35" t="s">
        <v>81</v>
      </c>
      <c r="K1014" s="35" t="s">
        <v>8586</v>
      </c>
      <c r="L1014" s="35" t="s">
        <v>8587</v>
      </c>
      <c r="M1014" s="35" t="s">
        <v>83</v>
      </c>
      <c r="N1014" s="35" t="s">
        <v>3974</v>
      </c>
      <c r="O1014" s="35" t="s">
        <v>26</v>
      </c>
    </row>
    <row r="1015" spans="1:15" ht="13">
      <c r="A1015" s="33">
        <v>43983.178333252319</v>
      </c>
      <c r="B1015" s="35" t="s">
        <v>3380</v>
      </c>
      <c r="C1015" s="35" t="s">
        <v>3381</v>
      </c>
      <c r="D1015" s="35" t="s">
        <v>3382</v>
      </c>
      <c r="E1015" s="38" t="s">
        <v>3383</v>
      </c>
      <c r="F1015" s="328" t="s">
        <v>3385</v>
      </c>
      <c r="G1015" s="35" t="s">
        <v>3386</v>
      </c>
      <c r="H1015" s="35" t="s">
        <v>33</v>
      </c>
      <c r="I1015" s="35" t="s">
        <v>3387</v>
      </c>
      <c r="J1015" s="35" t="s">
        <v>48</v>
      </c>
      <c r="K1015" s="328" t="s">
        <v>3388</v>
      </c>
      <c r="L1015" s="328" t="s">
        <v>3389</v>
      </c>
      <c r="M1015" s="35" t="s">
        <v>83</v>
      </c>
      <c r="N1015" s="328" t="s">
        <v>3390</v>
      </c>
      <c r="O1015" s="35" t="s">
        <v>26</v>
      </c>
    </row>
    <row r="1016" spans="1:15" ht="13" hidden="1">
      <c r="A1016" s="33">
        <v>43983.205538599534</v>
      </c>
      <c r="B1016" s="35" t="s">
        <v>8591</v>
      </c>
      <c r="C1016" s="35" t="s">
        <v>8592</v>
      </c>
      <c r="D1016" s="35" t="s">
        <v>8593</v>
      </c>
      <c r="E1016" s="38" t="s">
        <v>8594</v>
      </c>
      <c r="G1016" s="35" t="s">
        <v>1017</v>
      </c>
      <c r="H1016" s="35" t="s">
        <v>506</v>
      </c>
      <c r="I1016" s="35" t="s">
        <v>8598</v>
      </c>
      <c r="J1016" s="35" t="s">
        <v>81</v>
      </c>
      <c r="M1016" s="35" t="s">
        <v>83</v>
      </c>
      <c r="N1016" s="35" t="s">
        <v>8599</v>
      </c>
      <c r="O1016" s="35" t="s">
        <v>26</v>
      </c>
    </row>
    <row r="1017" spans="1:15" ht="13">
      <c r="A1017" s="33">
        <v>43983.89060648148</v>
      </c>
      <c r="B1017" s="35" t="s">
        <v>9090</v>
      </c>
      <c r="C1017" s="35" t="s">
        <v>416</v>
      </c>
      <c r="D1017" s="35" t="s">
        <v>9091</v>
      </c>
      <c r="E1017" s="38" t="s">
        <v>9092</v>
      </c>
      <c r="F1017" s="327"/>
      <c r="G1017" s="35" t="s">
        <v>505</v>
      </c>
      <c r="H1017" s="35" t="s">
        <v>33</v>
      </c>
      <c r="I1017" s="35" t="s">
        <v>425</v>
      </c>
      <c r="J1017" s="35" t="s">
        <v>48</v>
      </c>
      <c r="K1017" s="327"/>
      <c r="L1017" s="327"/>
      <c r="M1017" s="35" t="s">
        <v>67</v>
      </c>
      <c r="N1017" s="327"/>
      <c r="O1017" s="35" t="s">
        <v>26</v>
      </c>
    </row>
    <row r="1018" spans="1:15" ht="13" hidden="1">
      <c r="A1018" s="33">
        <v>43983.971667893522</v>
      </c>
      <c r="B1018" s="35" t="s">
        <v>8609</v>
      </c>
      <c r="C1018" s="35" t="s">
        <v>8610</v>
      </c>
      <c r="D1018" s="35" t="s">
        <v>8611</v>
      </c>
      <c r="E1018" s="38" t="s">
        <v>8613</v>
      </c>
      <c r="G1018" s="35" t="s">
        <v>6834</v>
      </c>
      <c r="H1018" s="35" t="s">
        <v>46</v>
      </c>
      <c r="I1018" s="35" t="s">
        <v>662</v>
      </c>
      <c r="J1018" s="35" t="s">
        <v>48</v>
      </c>
      <c r="M1018" s="35" t="s">
        <v>67</v>
      </c>
      <c r="N1018" s="35" t="s">
        <v>8614</v>
      </c>
      <c r="O1018" s="35" t="s">
        <v>26</v>
      </c>
    </row>
    <row r="1019" spans="1:15" ht="13" hidden="1">
      <c r="A1019" s="33">
        <v>43984.017795324078</v>
      </c>
      <c r="B1019" s="35" t="s">
        <v>8615</v>
      </c>
      <c r="C1019" s="35" t="s">
        <v>8616</v>
      </c>
      <c r="D1019" s="35" t="s">
        <v>8617</v>
      </c>
      <c r="E1019" s="38" t="s">
        <v>8618</v>
      </c>
      <c r="G1019" s="35" t="s">
        <v>32</v>
      </c>
      <c r="H1019" s="35" t="s">
        <v>46</v>
      </c>
      <c r="I1019" s="35" t="s">
        <v>8622</v>
      </c>
      <c r="J1019" s="35" t="s">
        <v>48</v>
      </c>
      <c r="M1019" s="35" t="s">
        <v>67</v>
      </c>
      <c r="N1019" s="35" t="s">
        <v>8623</v>
      </c>
      <c r="O1019" s="35" t="s">
        <v>26</v>
      </c>
    </row>
    <row r="1020" spans="1:15" ht="13" hidden="1">
      <c r="A1020" s="33">
        <v>43984.0248125</v>
      </c>
      <c r="B1020" s="35" t="s">
        <v>8624</v>
      </c>
      <c r="C1020" s="35" t="s">
        <v>8625</v>
      </c>
      <c r="D1020" s="35" t="s">
        <v>8526</v>
      </c>
      <c r="E1020" s="38" t="s">
        <v>8626</v>
      </c>
      <c r="G1020" s="35" t="s">
        <v>4522</v>
      </c>
      <c r="H1020" s="35" t="s">
        <v>46</v>
      </c>
      <c r="I1020" s="35" t="s">
        <v>8627</v>
      </c>
      <c r="J1020" s="35" t="s">
        <v>35</v>
      </c>
      <c r="M1020" s="35" t="s">
        <v>67</v>
      </c>
      <c r="N1020" s="35" t="s">
        <v>68</v>
      </c>
      <c r="O1020" s="35" t="s">
        <v>26</v>
      </c>
    </row>
    <row r="1021" spans="1:15" ht="13" hidden="1">
      <c r="A1021" s="33">
        <v>43984.085059618053</v>
      </c>
      <c r="B1021" s="35" t="s">
        <v>8628</v>
      </c>
      <c r="C1021" s="35" t="s">
        <v>8629</v>
      </c>
      <c r="D1021" s="35" t="s">
        <v>8631</v>
      </c>
      <c r="E1021" s="38" t="s">
        <v>8632</v>
      </c>
      <c r="G1021" s="35" t="s">
        <v>8633</v>
      </c>
      <c r="H1021" s="35" t="s">
        <v>399</v>
      </c>
      <c r="I1021" s="35" t="s">
        <v>8634</v>
      </c>
      <c r="J1021" s="35" t="s">
        <v>35</v>
      </c>
      <c r="K1021" s="35" t="s">
        <v>8635</v>
      </c>
      <c r="L1021" s="35" t="s">
        <v>8636</v>
      </c>
      <c r="M1021" s="35" t="s">
        <v>67</v>
      </c>
      <c r="O1021" s="35" t="s">
        <v>26</v>
      </c>
    </row>
    <row r="1022" spans="1:15" ht="13">
      <c r="A1022" s="33">
        <v>43984.161747430553</v>
      </c>
      <c r="B1022" s="35" t="s">
        <v>9097</v>
      </c>
      <c r="C1022" s="35" t="s">
        <v>416</v>
      </c>
      <c r="D1022" s="35" t="s">
        <v>9098</v>
      </c>
      <c r="E1022" s="328" t="s">
        <v>9099</v>
      </c>
      <c r="G1022" s="35" t="s">
        <v>1994</v>
      </c>
      <c r="H1022" s="35" t="s">
        <v>33</v>
      </c>
      <c r="I1022" s="35" t="s">
        <v>9100</v>
      </c>
      <c r="J1022" s="35" t="s">
        <v>104</v>
      </c>
      <c r="K1022" s="327"/>
      <c r="L1022" s="327"/>
      <c r="M1022" s="35" t="s">
        <v>83</v>
      </c>
      <c r="N1022" s="327"/>
      <c r="O1022" s="35" t="s">
        <v>26</v>
      </c>
    </row>
    <row r="1023" spans="1:15" ht="13">
      <c r="A1023" s="33">
        <v>43984.225754675921</v>
      </c>
      <c r="B1023" s="35" t="s">
        <v>2678</v>
      </c>
      <c r="C1023" s="35" t="s">
        <v>2679</v>
      </c>
      <c r="D1023" s="35" t="s">
        <v>1759</v>
      </c>
      <c r="E1023" s="328" t="s">
        <v>2680</v>
      </c>
      <c r="F1023" s="328" t="s">
        <v>2681</v>
      </c>
      <c r="G1023" s="35" t="s">
        <v>2682</v>
      </c>
      <c r="H1023" s="35" t="s">
        <v>33</v>
      </c>
      <c r="I1023" s="35" t="s">
        <v>2683</v>
      </c>
      <c r="J1023" s="35" t="s">
        <v>35</v>
      </c>
      <c r="K1023" s="328" t="s">
        <v>2684</v>
      </c>
      <c r="L1023" s="328" t="s">
        <v>2685</v>
      </c>
      <c r="M1023" s="35" t="s">
        <v>83</v>
      </c>
      <c r="O1023" s="35" t="s">
        <v>26</v>
      </c>
    </row>
    <row r="1024" spans="1:15" ht="13">
      <c r="A1024" s="33">
        <v>43984.668079224539</v>
      </c>
      <c r="B1024" s="35" t="s">
        <v>4301</v>
      </c>
      <c r="C1024" s="35" t="s">
        <v>936</v>
      </c>
      <c r="D1024" s="35" t="s">
        <v>4287</v>
      </c>
      <c r="E1024" s="38" t="s">
        <v>4302</v>
      </c>
      <c r="F1024" s="328" t="s">
        <v>4303</v>
      </c>
      <c r="G1024" s="35" t="s">
        <v>63</v>
      </c>
      <c r="H1024" s="35" t="s">
        <v>33</v>
      </c>
      <c r="I1024" s="35" t="s">
        <v>4304</v>
      </c>
      <c r="J1024" s="35" t="s">
        <v>48</v>
      </c>
      <c r="K1024" s="327"/>
      <c r="L1024" s="327"/>
      <c r="M1024" s="35" t="s">
        <v>67</v>
      </c>
      <c r="N1024" s="327"/>
      <c r="O1024" s="35" t="s">
        <v>26</v>
      </c>
    </row>
    <row r="1025" spans="1:15" ht="13" hidden="1">
      <c r="A1025" s="33">
        <v>43984.932198692128</v>
      </c>
      <c r="B1025" s="35" t="s">
        <v>8652</v>
      </c>
      <c r="C1025" s="35" t="s">
        <v>8653</v>
      </c>
      <c r="D1025" s="35" t="s">
        <v>8654</v>
      </c>
      <c r="E1025" s="38" t="s">
        <v>8655</v>
      </c>
      <c r="G1025" s="35" t="s">
        <v>3836</v>
      </c>
      <c r="H1025" s="35" t="s">
        <v>46</v>
      </c>
      <c r="I1025" s="35" t="s">
        <v>8656</v>
      </c>
      <c r="J1025" s="35" t="s">
        <v>104</v>
      </c>
      <c r="K1025" s="35" t="s">
        <v>8657</v>
      </c>
      <c r="M1025" s="35" t="s">
        <v>83</v>
      </c>
      <c r="N1025" s="35" t="s">
        <v>8658</v>
      </c>
      <c r="O1025" s="35" t="s">
        <v>26</v>
      </c>
    </row>
    <row r="1026" spans="1:15" ht="13" hidden="1">
      <c r="A1026" s="33">
        <v>43985.236740497683</v>
      </c>
      <c r="B1026" s="35" t="s">
        <v>8659</v>
      </c>
      <c r="C1026" s="35" t="s">
        <v>8660</v>
      </c>
      <c r="D1026" s="35" t="s">
        <v>8661</v>
      </c>
      <c r="E1026" s="38" t="s">
        <v>8662</v>
      </c>
      <c r="G1026" s="35" t="s">
        <v>63</v>
      </c>
      <c r="H1026" s="35" t="s">
        <v>46</v>
      </c>
      <c r="I1026" s="35" t="s">
        <v>8664</v>
      </c>
      <c r="J1026" s="35" t="s">
        <v>35</v>
      </c>
      <c r="M1026" s="35" t="s">
        <v>67</v>
      </c>
      <c r="N1026" s="35" t="s">
        <v>8665</v>
      </c>
      <c r="O1026" s="35" t="s">
        <v>26</v>
      </c>
    </row>
    <row r="1027" spans="1:15" ht="13" hidden="1">
      <c r="A1027" s="33">
        <v>43985.279205856481</v>
      </c>
      <c r="B1027" s="35" t="s">
        <v>8667</v>
      </c>
      <c r="C1027" s="35" t="s">
        <v>4875</v>
      </c>
      <c r="D1027" s="35" t="s">
        <v>8668</v>
      </c>
      <c r="E1027" s="38" t="s">
        <v>8670</v>
      </c>
      <c r="G1027" s="35" t="s">
        <v>4809</v>
      </c>
      <c r="H1027" s="35" t="s">
        <v>46</v>
      </c>
      <c r="I1027" s="35" t="s">
        <v>8672</v>
      </c>
      <c r="J1027" s="35" t="s">
        <v>81</v>
      </c>
      <c r="L1027" s="35" t="s">
        <v>8673</v>
      </c>
      <c r="M1027" s="35" t="s">
        <v>83</v>
      </c>
      <c r="N1027" s="35" t="s">
        <v>8675</v>
      </c>
      <c r="O1027" s="35" t="s">
        <v>26</v>
      </c>
    </row>
    <row r="1028" spans="1:15" ht="13" hidden="1">
      <c r="A1028" s="33">
        <v>43985.855584236109</v>
      </c>
      <c r="B1028" s="35" t="s">
        <v>8676</v>
      </c>
      <c r="C1028" s="35" t="s">
        <v>8677</v>
      </c>
      <c r="D1028" s="35" t="s">
        <v>8678</v>
      </c>
      <c r="E1028" s="38" t="s">
        <v>8679</v>
      </c>
      <c r="G1028" s="35" t="s">
        <v>63</v>
      </c>
      <c r="H1028" s="35" t="s">
        <v>46</v>
      </c>
      <c r="I1028" s="35" t="s">
        <v>8681</v>
      </c>
      <c r="J1028" s="35" t="s">
        <v>35</v>
      </c>
      <c r="M1028" s="35" t="s">
        <v>83</v>
      </c>
      <c r="N1028" s="35" t="s">
        <v>8682</v>
      </c>
      <c r="O1028" s="35" t="s">
        <v>26</v>
      </c>
    </row>
    <row r="1029" spans="1:15" ht="13" hidden="1">
      <c r="A1029" s="33">
        <v>43985.898414178242</v>
      </c>
      <c r="B1029" s="35" t="s">
        <v>8683</v>
      </c>
      <c r="C1029" s="35" t="s">
        <v>8684</v>
      </c>
      <c r="D1029" s="35" t="s">
        <v>8685</v>
      </c>
      <c r="E1029" s="38" t="s">
        <v>8686</v>
      </c>
      <c r="G1029" s="35" t="s">
        <v>322</v>
      </c>
      <c r="H1029" s="35" t="s">
        <v>506</v>
      </c>
      <c r="I1029" s="35" t="s">
        <v>425</v>
      </c>
      <c r="J1029" s="35" t="s">
        <v>104</v>
      </c>
      <c r="K1029" s="35" t="s">
        <v>8691</v>
      </c>
      <c r="M1029" s="35" t="s">
        <v>83</v>
      </c>
      <c r="N1029" s="35" t="s">
        <v>92</v>
      </c>
      <c r="O1029" s="35" t="s">
        <v>26</v>
      </c>
    </row>
    <row r="1030" spans="1:15" ht="13" hidden="1">
      <c r="A1030" s="33">
        <v>43986.069879479168</v>
      </c>
      <c r="B1030" s="35" t="s">
        <v>8693</v>
      </c>
      <c r="C1030" s="35" t="s">
        <v>8694</v>
      </c>
      <c r="D1030" s="35" t="s">
        <v>7585</v>
      </c>
      <c r="E1030" s="38" t="s">
        <v>8696</v>
      </c>
      <c r="G1030" s="35" t="s">
        <v>363</v>
      </c>
      <c r="H1030" s="35" t="s">
        <v>46</v>
      </c>
      <c r="I1030" s="35" t="s">
        <v>6683</v>
      </c>
      <c r="J1030" s="35" t="s">
        <v>48</v>
      </c>
      <c r="M1030" s="35" t="s">
        <v>67</v>
      </c>
      <c r="N1030" s="35" t="s">
        <v>2180</v>
      </c>
      <c r="O1030" s="35" t="s">
        <v>26</v>
      </c>
    </row>
    <row r="1031" spans="1:15" ht="13">
      <c r="A1031" s="33">
        <v>43986.1124427662</v>
      </c>
      <c r="B1031" s="35" t="s">
        <v>9458</v>
      </c>
      <c r="C1031" s="35" t="s">
        <v>936</v>
      </c>
      <c r="D1031" s="35" t="s">
        <v>2380</v>
      </c>
      <c r="E1031" s="328" t="s">
        <v>9453</v>
      </c>
      <c r="F1031" s="328" t="s">
        <v>9459</v>
      </c>
      <c r="G1031" s="35" t="s">
        <v>63</v>
      </c>
      <c r="H1031" s="35" t="s">
        <v>33</v>
      </c>
      <c r="I1031" s="319" t="s">
        <v>9423</v>
      </c>
      <c r="J1031" s="327"/>
      <c r="M1031" s="327"/>
      <c r="N1031" s="327"/>
      <c r="O1031" s="35" t="s">
        <v>26</v>
      </c>
    </row>
    <row r="1032" spans="1:15" ht="13">
      <c r="A1032" s="33">
        <v>43986.155545127316</v>
      </c>
      <c r="B1032" s="35" t="s">
        <v>1990</v>
      </c>
      <c r="C1032" s="35" t="s">
        <v>1991</v>
      </c>
      <c r="D1032" s="35" t="s">
        <v>1153</v>
      </c>
      <c r="E1032" s="38" t="s">
        <v>1992</v>
      </c>
      <c r="F1032" s="328" t="s">
        <v>1993</v>
      </c>
      <c r="G1032" s="35" t="s">
        <v>1994</v>
      </c>
      <c r="H1032" s="35" t="s">
        <v>33</v>
      </c>
      <c r="I1032" s="35" t="s">
        <v>1995</v>
      </c>
      <c r="J1032" s="35" t="s">
        <v>48</v>
      </c>
      <c r="M1032" s="35" t="s">
        <v>67</v>
      </c>
      <c r="O1032" s="35" t="s">
        <v>26</v>
      </c>
    </row>
    <row r="1033" spans="1:15" ht="13" hidden="1">
      <c r="A1033" s="33">
        <v>43986.866999062499</v>
      </c>
      <c r="B1033" s="35" t="s">
        <v>8707</v>
      </c>
      <c r="C1033" s="35" t="s">
        <v>8708</v>
      </c>
      <c r="D1033" s="35" t="s">
        <v>8709</v>
      </c>
      <c r="E1033" s="38" t="s">
        <v>8710</v>
      </c>
      <c r="G1033" s="35" t="s">
        <v>8714</v>
      </c>
      <c r="H1033" s="35" t="s">
        <v>46</v>
      </c>
      <c r="I1033" s="35" t="s">
        <v>8715</v>
      </c>
      <c r="J1033" s="35" t="s">
        <v>48</v>
      </c>
      <c r="K1033" s="35" t="s">
        <v>8716</v>
      </c>
      <c r="M1033" s="35" t="s">
        <v>83</v>
      </c>
      <c r="N1033" s="35" t="s">
        <v>8717</v>
      </c>
      <c r="O1033" s="35" t="s">
        <v>26</v>
      </c>
    </row>
    <row r="1034" spans="1:15" ht="13" hidden="1">
      <c r="A1034" s="33">
        <v>43986.871163680553</v>
      </c>
      <c r="B1034" s="35" t="s">
        <v>8718</v>
      </c>
      <c r="C1034" s="35" t="s">
        <v>8719</v>
      </c>
      <c r="D1034" s="35" t="s">
        <v>6309</v>
      </c>
      <c r="E1034" s="38" t="s">
        <v>8720</v>
      </c>
      <c r="G1034" s="35" t="s">
        <v>8722</v>
      </c>
      <c r="H1034" s="35" t="s">
        <v>46</v>
      </c>
      <c r="I1034" s="35" t="s">
        <v>15</v>
      </c>
      <c r="J1034" s="35" t="s">
        <v>35</v>
      </c>
      <c r="K1034" s="35" t="s">
        <v>8723</v>
      </c>
      <c r="L1034" s="35" t="s">
        <v>8724</v>
      </c>
      <c r="M1034" s="35" t="s">
        <v>67</v>
      </c>
      <c r="N1034" s="35" t="s">
        <v>8725</v>
      </c>
      <c r="O1034" s="35" t="s">
        <v>26</v>
      </c>
    </row>
    <row r="1035" spans="1:15" ht="13">
      <c r="A1035" s="33">
        <v>43986.903408634258</v>
      </c>
      <c r="B1035" s="35" t="s">
        <v>5675</v>
      </c>
      <c r="C1035" s="35" t="s">
        <v>5676</v>
      </c>
      <c r="D1035" s="35" t="s">
        <v>5677</v>
      </c>
      <c r="E1035" s="38" t="s">
        <v>5678</v>
      </c>
      <c r="F1035" s="328" t="s">
        <v>5684</v>
      </c>
      <c r="G1035" s="35" t="s">
        <v>63</v>
      </c>
      <c r="H1035" s="35" t="s">
        <v>33</v>
      </c>
      <c r="I1035" s="35" t="s">
        <v>5687</v>
      </c>
      <c r="J1035" s="35" t="s">
        <v>48</v>
      </c>
      <c r="K1035" s="327"/>
      <c r="M1035" s="35" t="s">
        <v>83</v>
      </c>
      <c r="N1035" s="327"/>
      <c r="O1035" s="35" t="s">
        <v>26</v>
      </c>
    </row>
    <row r="1036" spans="1:15" ht="13">
      <c r="A1036" s="33">
        <v>43986.911615659723</v>
      </c>
      <c r="B1036" s="35" t="s">
        <v>4765</v>
      </c>
      <c r="C1036" s="35" t="s">
        <v>1766</v>
      </c>
      <c r="D1036" s="35" t="s">
        <v>1153</v>
      </c>
      <c r="E1036" s="38" t="s">
        <v>4766</v>
      </c>
      <c r="F1036" s="328" t="s">
        <v>4767</v>
      </c>
      <c r="G1036" s="35" t="s">
        <v>102</v>
      </c>
      <c r="H1036" s="35" t="s">
        <v>33</v>
      </c>
      <c r="I1036" s="35" t="s">
        <v>4768</v>
      </c>
      <c r="J1036" s="35" t="s">
        <v>48</v>
      </c>
      <c r="K1036" s="327"/>
      <c r="M1036" s="35" t="s">
        <v>83</v>
      </c>
      <c r="N1036" s="327"/>
      <c r="O1036" s="35" t="s">
        <v>26</v>
      </c>
    </row>
    <row r="1037" spans="1:15" ht="13">
      <c r="A1037" s="33">
        <v>43986.916818344907</v>
      </c>
      <c r="B1037" s="35" t="s">
        <v>4285</v>
      </c>
      <c r="C1037" s="35" t="s">
        <v>4286</v>
      </c>
      <c r="D1037" s="35" t="s">
        <v>4287</v>
      </c>
      <c r="E1037" s="38" t="s">
        <v>4288</v>
      </c>
      <c r="F1037" s="328" t="s">
        <v>4289</v>
      </c>
      <c r="G1037" s="35" t="s">
        <v>63</v>
      </c>
      <c r="H1037" s="35" t="s">
        <v>33</v>
      </c>
      <c r="I1037" s="35" t="s">
        <v>1587</v>
      </c>
      <c r="J1037" s="35" t="s">
        <v>104</v>
      </c>
      <c r="K1037" s="327"/>
      <c r="L1037" s="327"/>
      <c r="M1037" s="35" t="s">
        <v>83</v>
      </c>
      <c r="N1037" s="327"/>
      <c r="O1037" s="35" t="s">
        <v>26</v>
      </c>
    </row>
    <row r="1038" spans="1:15" ht="13" hidden="1">
      <c r="A1038" s="33">
        <v>43986.929814513889</v>
      </c>
      <c r="B1038" s="35" t="s">
        <v>8743</v>
      </c>
      <c r="C1038" s="35" t="s">
        <v>8744</v>
      </c>
      <c r="D1038" s="35" t="s">
        <v>8745</v>
      </c>
      <c r="E1038" s="38" t="s">
        <v>8746</v>
      </c>
      <c r="G1038" s="35" t="s">
        <v>564</v>
      </c>
      <c r="H1038" s="35" t="s">
        <v>5442</v>
      </c>
      <c r="I1038" s="35" t="s">
        <v>8750</v>
      </c>
      <c r="J1038" s="35" t="s">
        <v>104</v>
      </c>
      <c r="M1038" s="35" t="s">
        <v>83</v>
      </c>
      <c r="N1038" s="35" t="s">
        <v>8751</v>
      </c>
      <c r="O1038" s="35" t="s">
        <v>26</v>
      </c>
    </row>
    <row r="1039" spans="1:15" ht="13" hidden="1">
      <c r="A1039" s="33">
        <v>43986.947577673607</v>
      </c>
      <c r="B1039" s="35" t="s">
        <v>8752</v>
      </c>
      <c r="C1039" s="35" t="s">
        <v>8753</v>
      </c>
      <c r="D1039" s="35" t="s">
        <v>6832</v>
      </c>
      <c r="E1039" s="38" t="s">
        <v>8754</v>
      </c>
      <c r="G1039" s="35" t="s">
        <v>63</v>
      </c>
      <c r="H1039" s="35" t="s">
        <v>46</v>
      </c>
      <c r="I1039" s="35" t="s">
        <v>8759</v>
      </c>
      <c r="J1039" s="35" t="s">
        <v>104</v>
      </c>
      <c r="K1039" s="35" t="s">
        <v>8761</v>
      </c>
      <c r="M1039" s="35" t="s">
        <v>83</v>
      </c>
      <c r="N1039" s="35" t="s">
        <v>551</v>
      </c>
      <c r="O1039" s="35" t="s">
        <v>26</v>
      </c>
    </row>
    <row r="1040" spans="1:15" ht="13">
      <c r="A1040" s="33">
        <v>43986.959806273153</v>
      </c>
      <c r="B1040" s="35" t="s">
        <v>8926</v>
      </c>
      <c r="C1040" s="35" t="s">
        <v>8927</v>
      </c>
      <c r="D1040" s="35" t="s">
        <v>7566</v>
      </c>
      <c r="E1040" s="38" t="s">
        <v>8928</v>
      </c>
      <c r="F1040" s="327"/>
      <c r="G1040" s="35" t="s">
        <v>3386</v>
      </c>
      <c r="H1040" s="35" t="s">
        <v>33</v>
      </c>
      <c r="I1040" s="35" t="s">
        <v>8877</v>
      </c>
      <c r="J1040" s="35" t="s">
        <v>48</v>
      </c>
      <c r="K1040" s="35" t="s">
        <v>8929</v>
      </c>
      <c r="L1040" s="327"/>
      <c r="M1040" s="35" t="s">
        <v>83</v>
      </c>
      <c r="N1040" s="327"/>
      <c r="O1040" s="35" t="s">
        <v>26</v>
      </c>
    </row>
    <row r="1041" spans="1:15" ht="13">
      <c r="A1041" s="33">
        <v>43986.97545273148</v>
      </c>
      <c r="B1041" s="35" t="s">
        <v>5508</v>
      </c>
      <c r="C1041" s="35" t="s">
        <v>5509</v>
      </c>
      <c r="D1041" s="35" t="s">
        <v>5510</v>
      </c>
      <c r="E1041" s="38" t="s">
        <v>5511</v>
      </c>
      <c r="F1041" s="328" t="s">
        <v>5512</v>
      </c>
      <c r="G1041" s="35" t="s">
        <v>344</v>
      </c>
      <c r="H1041" s="35" t="s">
        <v>33</v>
      </c>
      <c r="I1041" s="35" t="s">
        <v>5513</v>
      </c>
      <c r="J1041" s="35" t="s">
        <v>48</v>
      </c>
      <c r="K1041" s="328" t="s">
        <v>5514</v>
      </c>
      <c r="L1041" s="328" t="s">
        <v>5515</v>
      </c>
      <c r="M1041" s="35" t="s">
        <v>83</v>
      </c>
      <c r="O1041" s="35" t="s">
        <v>26</v>
      </c>
    </row>
    <row r="1042" spans="1:15" ht="13">
      <c r="A1042" s="33">
        <v>43987.005175254628</v>
      </c>
      <c r="B1042" s="35" t="s">
        <v>7904</v>
      </c>
      <c r="C1042" s="35" t="s">
        <v>5509</v>
      </c>
      <c r="D1042" s="328" t="s">
        <v>1153</v>
      </c>
      <c r="E1042" s="38" t="s">
        <v>7905</v>
      </c>
      <c r="F1042" s="327"/>
      <c r="G1042" s="35" t="s">
        <v>296</v>
      </c>
      <c r="H1042" s="35" t="s">
        <v>33</v>
      </c>
      <c r="I1042" s="35" t="s">
        <v>7906</v>
      </c>
      <c r="J1042" s="35" t="s">
        <v>104</v>
      </c>
      <c r="K1042" s="35" t="s">
        <v>2243</v>
      </c>
      <c r="L1042" s="327"/>
      <c r="M1042" s="35" t="s">
        <v>83</v>
      </c>
      <c r="O1042" s="35" t="s">
        <v>26</v>
      </c>
    </row>
    <row r="1043" spans="1:15" ht="13">
      <c r="A1043" s="33">
        <v>43987.005562824073</v>
      </c>
      <c r="B1043" s="35" t="s">
        <v>9059</v>
      </c>
      <c r="C1043" s="35" t="s">
        <v>9060</v>
      </c>
      <c r="D1043" s="35" t="s">
        <v>9061</v>
      </c>
      <c r="E1043" s="38" t="s">
        <v>9062</v>
      </c>
      <c r="F1043" s="327"/>
      <c r="G1043" s="35" t="s">
        <v>1633</v>
      </c>
      <c r="H1043" s="35" t="s">
        <v>33</v>
      </c>
      <c r="I1043" s="35" t="s">
        <v>15</v>
      </c>
      <c r="J1043" s="35" t="s">
        <v>35</v>
      </c>
      <c r="K1043" s="35" t="s">
        <v>9063</v>
      </c>
      <c r="L1043" s="327"/>
      <c r="M1043" s="35" t="s">
        <v>83</v>
      </c>
      <c r="O1043" s="35" t="s">
        <v>26</v>
      </c>
    </row>
    <row r="1044" spans="1:15" ht="13">
      <c r="A1044" s="33">
        <v>43987.020787453701</v>
      </c>
      <c r="B1044" s="35" t="s">
        <v>7333</v>
      </c>
      <c r="C1044" s="35" t="s">
        <v>7334</v>
      </c>
      <c r="D1044" s="35" t="s">
        <v>2141</v>
      </c>
      <c r="E1044" s="38" t="s">
        <v>7335</v>
      </c>
      <c r="F1044" s="327"/>
      <c r="G1044" s="35" t="s">
        <v>63</v>
      </c>
      <c r="H1044" s="35" t="s">
        <v>33</v>
      </c>
      <c r="I1044" s="35" t="s">
        <v>7338</v>
      </c>
      <c r="J1044" s="35" t="s">
        <v>48</v>
      </c>
      <c r="K1044" s="327"/>
      <c r="L1044" s="327"/>
      <c r="M1044" s="35" t="s">
        <v>83</v>
      </c>
      <c r="N1044" s="327"/>
      <c r="O1044" s="35" t="s">
        <v>26</v>
      </c>
    </row>
    <row r="1045" spans="1:15" ht="14">
      <c r="A1045" s="33">
        <v>43987.047010717593</v>
      </c>
      <c r="B1045" s="313" t="s">
        <v>9379</v>
      </c>
      <c r="C1045" s="308" t="s">
        <v>9380</v>
      </c>
      <c r="D1045" s="313" t="s">
        <v>87</v>
      </c>
      <c r="E1045" s="312" t="s">
        <v>9381</v>
      </c>
      <c r="F1045" s="313"/>
      <c r="G1045" s="313" t="s">
        <v>709</v>
      </c>
      <c r="H1045" s="313" t="s">
        <v>33</v>
      </c>
      <c r="I1045" s="313" t="s">
        <v>2959</v>
      </c>
      <c r="J1045" s="313"/>
      <c r="K1045" s="313"/>
      <c r="L1045" s="313"/>
      <c r="M1045" s="313"/>
      <c r="N1045" s="313"/>
      <c r="O1045" s="35" t="s">
        <v>26</v>
      </c>
    </row>
    <row r="1046" spans="1:15" ht="13">
      <c r="A1046" s="33">
        <v>43987.062435358792</v>
      </c>
      <c r="B1046" s="35" t="s">
        <v>2915</v>
      </c>
      <c r="C1046" s="35" t="s">
        <v>2916</v>
      </c>
      <c r="D1046" s="35" t="s">
        <v>2917</v>
      </c>
      <c r="E1046" s="38" t="s">
        <v>2918</v>
      </c>
      <c r="F1046" s="328" t="s">
        <v>2920</v>
      </c>
      <c r="G1046" s="35" t="s">
        <v>63</v>
      </c>
      <c r="H1046" s="35" t="s">
        <v>33</v>
      </c>
      <c r="I1046" s="35" t="s">
        <v>2921</v>
      </c>
      <c r="J1046" s="35" t="s">
        <v>81</v>
      </c>
      <c r="K1046" s="327"/>
      <c r="L1046" s="327"/>
      <c r="M1046" s="35" t="s">
        <v>67</v>
      </c>
      <c r="O1046" s="35" t="s">
        <v>26</v>
      </c>
    </row>
    <row r="1047" spans="1:15" ht="13">
      <c r="A1047" s="33">
        <v>43987.065592951389</v>
      </c>
      <c r="B1047" s="35" t="s">
        <v>4198</v>
      </c>
      <c r="C1047" s="35" t="s">
        <v>4199</v>
      </c>
      <c r="D1047" s="35" t="s">
        <v>3382</v>
      </c>
      <c r="E1047" s="38" t="s">
        <v>4200</v>
      </c>
      <c r="F1047" s="328" t="s">
        <v>4201</v>
      </c>
      <c r="G1047" s="35" t="s">
        <v>1823</v>
      </c>
      <c r="H1047" s="35" t="s">
        <v>33</v>
      </c>
      <c r="I1047" s="35" t="s">
        <v>425</v>
      </c>
      <c r="J1047" s="35" t="s">
        <v>35</v>
      </c>
      <c r="K1047" s="328" t="s">
        <v>987</v>
      </c>
      <c r="M1047" s="35" t="s">
        <v>67</v>
      </c>
      <c r="N1047" s="327"/>
      <c r="O1047" s="35" t="s">
        <v>26</v>
      </c>
    </row>
    <row r="1048" spans="1:15" ht="13">
      <c r="A1048" s="33">
        <v>43987.069738483799</v>
      </c>
      <c r="B1048" s="35" t="s">
        <v>9033</v>
      </c>
      <c r="C1048" s="35" t="s">
        <v>9034</v>
      </c>
      <c r="D1048" s="35" t="s">
        <v>8811</v>
      </c>
      <c r="E1048" s="38" t="s">
        <v>9035</v>
      </c>
      <c r="G1048" s="35" t="s">
        <v>63</v>
      </c>
      <c r="H1048" s="35" t="s">
        <v>33</v>
      </c>
      <c r="I1048" s="35" t="s">
        <v>9036</v>
      </c>
      <c r="J1048" s="35" t="s">
        <v>48</v>
      </c>
      <c r="K1048" s="327"/>
      <c r="M1048" s="35" t="s">
        <v>83</v>
      </c>
      <c r="O1048" s="35" t="s">
        <v>26</v>
      </c>
    </row>
    <row r="1049" spans="1:15" ht="13" hidden="1">
      <c r="A1049" s="33">
        <v>43987.071770243056</v>
      </c>
      <c r="B1049" s="35" t="s">
        <v>8830</v>
      </c>
      <c r="C1049" s="35" t="s">
        <v>8831</v>
      </c>
      <c r="D1049" s="35" t="s">
        <v>8832</v>
      </c>
      <c r="E1049" s="38" t="s">
        <v>8833</v>
      </c>
      <c r="G1049" s="35" t="s">
        <v>519</v>
      </c>
      <c r="H1049" s="35" t="s">
        <v>8834</v>
      </c>
      <c r="I1049" s="35" t="s">
        <v>8835</v>
      </c>
      <c r="J1049" s="35" t="s">
        <v>81</v>
      </c>
      <c r="M1049" s="35" t="s">
        <v>67</v>
      </c>
      <c r="O1049" s="35" t="s">
        <v>26</v>
      </c>
    </row>
    <row r="1050" spans="1:15" ht="13" hidden="1">
      <c r="A1050" s="33">
        <v>43987.074109687499</v>
      </c>
      <c r="B1050" s="35" t="s">
        <v>8836</v>
      </c>
      <c r="C1050" s="35" t="s">
        <v>1524</v>
      </c>
      <c r="D1050" s="35" t="s">
        <v>8837</v>
      </c>
      <c r="E1050" s="38" t="s">
        <v>8838</v>
      </c>
      <c r="G1050" s="35" t="s">
        <v>63</v>
      </c>
      <c r="H1050" s="35" t="s">
        <v>46</v>
      </c>
      <c r="I1050" s="35" t="s">
        <v>425</v>
      </c>
      <c r="J1050" s="35" t="s">
        <v>48</v>
      </c>
      <c r="K1050" s="35" t="s">
        <v>8841</v>
      </c>
      <c r="L1050" s="35" t="s">
        <v>8842</v>
      </c>
      <c r="M1050" s="35" t="s">
        <v>67</v>
      </c>
      <c r="N1050" s="35" t="s">
        <v>8843</v>
      </c>
      <c r="O1050" s="35" t="s">
        <v>26</v>
      </c>
    </row>
    <row r="1051" spans="1:15" ht="13" hidden="1">
      <c r="A1051" s="33">
        <v>43987.075712627317</v>
      </c>
      <c r="B1051" s="35" t="s">
        <v>8844</v>
      </c>
      <c r="C1051" s="35" t="s">
        <v>8845</v>
      </c>
      <c r="D1051" s="35" t="s">
        <v>8846</v>
      </c>
      <c r="E1051" s="38" t="s">
        <v>8847</v>
      </c>
      <c r="G1051" s="35" t="s">
        <v>363</v>
      </c>
      <c r="H1051" s="35" t="s">
        <v>46</v>
      </c>
      <c r="I1051" s="35" t="s">
        <v>8848</v>
      </c>
      <c r="J1051" s="35" t="s">
        <v>48</v>
      </c>
      <c r="M1051" s="35" t="s">
        <v>83</v>
      </c>
      <c r="N1051" s="35" t="s">
        <v>826</v>
      </c>
      <c r="O1051" s="35" t="s">
        <v>26</v>
      </c>
    </row>
    <row r="1052" spans="1:15" ht="13">
      <c r="A1052" s="33">
        <v>43987.084377870371</v>
      </c>
      <c r="B1052" s="35" t="s">
        <v>806</v>
      </c>
      <c r="C1052" s="35" t="s">
        <v>807</v>
      </c>
      <c r="D1052" s="35" t="s">
        <v>808</v>
      </c>
      <c r="E1052" s="38" t="s">
        <v>809</v>
      </c>
      <c r="F1052" s="328" t="s">
        <v>814</v>
      </c>
      <c r="G1052" s="35" t="s">
        <v>424</v>
      </c>
      <c r="H1052" s="35" t="s">
        <v>33</v>
      </c>
      <c r="I1052" s="35" t="s">
        <v>816</v>
      </c>
      <c r="J1052" s="35" t="s">
        <v>104</v>
      </c>
      <c r="K1052" s="35" t="s">
        <v>817</v>
      </c>
      <c r="L1052" s="328" t="s">
        <v>818</v>
      </c>
      <c r="M1052" s="35" t="s">
        <v>83</v>
      </c>
      <c r="N1052" s="327"/>
      <c r="O1052" s="35" t="s">
        <v>26</v>
      </c>
    </row>
    <row r="1053" spans="1:15" ht="13">
      <c r="A1053" s="33">
        <v>43987.092917256945</v>
      </c>
      <c r="B1053" s="35" t="s">
        <v>9418</v>
      </c>
      <c r="C1053" s="35" t="s">
        <v>9419</v>
      </c>
      <c r="D1053" s="35" t="s">
        <v>2380</v>
      </c>
      <c r="E1053" s="304" t="s">
        <v>9420</v>
      </c>
      <c r="F1053" s="328" t="s">
        <v>9421</v>
      </c>
      <c r="G1053" s="35" t="s">
        <v>9422</v>
      </c>
      <c r="H1053" s="35" t="s">
        <v>33</v>
      </c>
      <c r="I1053" s="319" t="s">
        <v>9423</v>
      </c>
      <c r="J1053" s="327"/>
      <c r="K1053" s="327"/>
      <c r="M1053" s="327"/>
      <c r="N1053" s="327"/>
      <c r="O1053" s="35" t="s">
        <v>26</v>
      </c>
    </row>
    <row r="1054" spans="1:15" ht="13">
      <c r="A1054" s="33">
        <v>43987.098029745372</v>
      </c>
      <c r="B1054" s="35" t="s">
        <v>9424</v>
      </c>
      <c r="C1054" s="35" t="s">
        <v>9419</v>
      </c>
      <c r="D1054" s="35" t="s">
        <v>2380</v>
      </c>
      <c r="E1054" s="304" t="s">
        <v>9425</v>
      </c>
      <c r="F1054" s="328" t="s">
        <v>9426</v>
      </c>
      <c r="G1054" s="35" t="s">
        <v>9422</v>
      </c>
      <c r="H1054" s="35" t="s">
        <v>33</v>
      </c>
      <c r="I1054" s="319" t="s">
        <v>9423</v>
      </c>
      <c r="J1054" s="327"/>
      <c r="K1054" s="327"/>
      <c r="L1054" s="327"/>
      <c r="M1054" s="327"/>
      <c r="O1054" s="35" t="s">
        <v>26</v>
      </c>
    </row>
    <row r="1055" spans="1:15" ht="13" hidden="1">
      <c r="A1055" s="33">
        <v>43987.110220659721</v>
      </c>
      <c r="B1055" s="35" t="s">
        <v>8752</v>
      </c>
      <c r="C1055" s="35" t="s">
        <v>8753</v>
      </c>
      <c r="D1055" s="35" t="s">
        <v>6832</v>
      </c>
      <c r="E1055" s="38" t="s">
        <v>8754</v>
      </c>
      <c r="G1055" s="35" t="s">
        <v>63</v>
      </c>
      <c r="H1055" s="35" t="s">
        <v>46</v>
      </c>
      <c r="I1055" s="35" t="s">
        <v>8759</v>
      </c>
      <c r="J1055" s="35" t="s">
        <v>104</v>
      </c>
      <c r="K1055" s="35" t="s">
        <v>8761</v>
      </c>
      <c r="M1055" s="35" t="s">
        <v>83</v>
      </c>
      <c r="N1055" s="35" t="s">
        <v>551</v>
      </c>
      <c r="O1055" s="35" t="s">
        <v>26</v>
      </c>
    </row>
    <row r="1056" spans="1:15" ht="13">
      <c r="A1056" s="33">
        <v>43987.11959642361</v>
      </c>
      <c r="B1056" s="35" t="s">
        <v>9437</v>
      </c>
      <c r="C1056" s="35" t="s">
        <v>9419</v>
      </c>
      <c r="D1056" s="35" t="s">
        <v>2380</v>
      </c>
      <c r="E1056" s="304" t="s">
        <v>9438</v>
      </c>
      <c r="F1056" s="328" t="s">
        <v>9439</v>
      </c>
      <c r="G1056" s="35" t="s">
        <v>9422</v>
      </c>
      <c r="H1056" s="35" t="s">
        <v>33</v>
      </c>
      <c r="I1056" s="319" t="s">
        <v>9423</v>
      </c>
      <c r="J1056" s="327"/>
      <c r="M1056" s="327"/>
      <c r="N1056" s="327"/>
      <c r="O1056" s="35" t="s">
        <v>26</v>
      </c>
    </row>
    <row r="1057" spans="1:15" ht="13" hidden="1">
      <c r="A1057" s="33">
        <v>43987.14621175926</v>
      </c>
      <c r="B1057" s="35" t="s">
        <v>8880</v>
      </c>
      <c r="C1057" s="35" t="s">
        <v>8881</v>
      </c>
      <c r="D1057" s="35" t="s">
        <v>8882</v>
      </c>
      <c r="E1057" s="38" t="s">
        <v>8883</v>
      </c>
      <c r="G1057" s="35" t="s">
        <v>8884</v>
      </c>
      <c r="H1057" s="35" t="s">
        <v>46</v>
      </c>
      <c r="I1057" s="35" t="s">
        <v>8885</v>
      </c>
      <c r="J1057" s="35" t="s">
        <v>81</v>
      </c>
      <c r="K1057" s="35" t="s">
        <v>8885</v>
      </c>
      <c r="M1057" s="35" t="s">
        <v>83</v>
      </c>
      <c r="N1057" s="35" t="s">
        <v>8886</v>
      </c>
      <c r="O1057" s="35" t="s">
        <v>26</v>
      </c>
    </row>
    <row r="1058" spans="1:15" ht="13" hidden="1">
      <c r="A1058" s="33">
        <v>43987.152907685188</v>
      </c>
      <c r="B1058" s="35" t="s">
        <v>8887</v>
      </c>
      <c r="C1058" s="35" t="s">
        <v>8888</v>
      </c>
      <c r="D1058" s="35" t="s">
        <v>8889</v>
      </c>
      <c r="E1058" s="38" t="s">
        <v>8890</v>
      </c>
      <c r="G1058" s="35" t="s">
        <v>1633</v>
      </c>
      <c r="H1058" s="35" t="s">
        <v>8891</v>
      </c>
      <c r="I1058" s="35" t="s">
        <v>8892</v>
      </c>
      <c r="J1058" s="35" t="s">
        <v>35</v>
      </c>
      <c r="M1058" s="35" t="s">
        <v>83</v>
      </c>
      <c r="O1058" s="35" t="s">
        <v>26</v>
      </c>
    </row>
    <row r="1059" spans="1:15" ht="13">
      <c r="A1059" s="33">
        <v>43987.214178888884</v>
      </c>
      <c r="B1059" s="35" t="s">
        <v>2171</v>
      </c>
      <c r="C1059" s="35" t="s">
        <v>2172</v>
      </c>
      <c r="D1059" s="38" t="s">
        <v>2173</v>
      </c>
      <c r="E1059" s="38" t="s">
        <v>2175</v>
      </c>
      <c r="F1059" s="328" t="s">
        <v>2177</v>
      </c>
      <c r="G1059" s="35" t="s">
        <v>1633</v>
      </c>
      <c r="H1059" s="35" t="s">
        <v>33</v>
      </c>
      <c r="I1059" s="35" t="s">
        <v>2178</v>
      </c>
      <c r="J1059" s="35" t="s">
        <v>104</v>
      </c>
      <c r="K1059" s="328" t="s">
        <v>2178</v>
      </c>
      <c r="L1059" s="328" t="s">
        <v>2179</v>
      </c>
      <c r="M1059" s="35" t="s">
        <v>83</v>
      </c>
      <c r="N1059" s="328" t="s">
        <v>2180</v>
      </c>
      <c r="O1059" s="35" t="s">
        <v>26</v>
      </c>
    </row>
    <row r="1060" spans="1:15" ht="13" hidden="1">
      <c r="A1060" s="33">
        <v>43987.21711957176</v>
      </c>
      <c r="B1060" s="35" t="s">
        <v>8900</v>
      </c>
      <c r="C1060" s="35" t="s">
        <v>8901</v>
      </c>
      <c r="D1060" s="35" t="s">
        <v>122</v>
      </c>
      <c r="E1060" s="38" t="s">
        <v>123</v>
      </c>
      <c r="G1060" s="35" t="s">
        <v>452</v>
      </c>
      <c r="H1060" s="35" t="s">
        <v>46</v>
      </c>
      <c r="I1060" s="35" t="s">
        <v>8904</v>
      </c>
      <c r="J1060" s="35" t="s">
        <v>104</v>
      </c>
      <c r="K1060" s="35" t="s">
        <v>8905</v>
      </c>
      <c r="M1060" s="35" t="s">
        <v>83</v>
      </c>
      <c r="N1060" s="35" t="s">
        <v>8906</v>
      </c>
      <c r="O1060" s="35" t="s">
        <v>26</v>
      </c>
    </row>
    <row r="1061" spans="1:15" ht="13" hidden="1">
      <c r="A1061" s="33">
        <v>43987.253292511574</v>
      </c>
      <c r="B1061" s="35" t="s">
        <v>8907</v>
      </c>
      <c r="C1061" s="35" t="s">
        <v>8909</v>
      </c>
      <c r="D1061" s="35" t="s">
        <v>7330</v>
      </c>
      <c r="E1061" s="38" t="s">
        <v>8911</v>
      </c>
      <c r="G1061" s="35" t="s">
        <v>5949</v>
      </c>
      <c r="H1061" s="35" t="s">
        <v>46</v>
      </c>
      <c r="I1061" s="35" t="s">
        <v>8913</v>
      </c>
      <c r="J1061" s="35" t="s">
        <v>104</v>
      </c>
      <c r="K1061" s="35" t="s">
        <v>8914</v>
      </c>
      <c r="L1061" s="35" t="s">
        <v>8915</v>
      </c>
      <c r="M1061" s="35" t="s">
        <v>83</v>
      </c>
      <c r="O1061" s="35" t="s">
        <v>26</v>
      </c>
    </row>
    <row r="1062" spans="1:15" ht="13">
      <c r="A1062" s="33">
        <v>43987.257344780097</v>
      </c>
      <c r="B1062" s="35" t="s">
        <v>1536</v>
      </c>
      <c r="C1062" s="35" t="s">
        <v>1537</v>
      </c>
      <c r="D1062" s="35" t="s">
        <v>1538</v>
      </c>
      <c r="E1062" s="328" t="s">
        <v>1536</v>
      </c>
      <c r="F1062" s="328" t="s">
        <v>1539</v>
      </c>
      <c r="G1062" s="35" t="s">
        <v>63</v>
      </c>
      <c r="H1062" s="35" t="s">
        <v>33</v>
      </c>
      <c r="I1062" s="35" t="s">
        <v>1540</v>
      </c>
      <c r="J1062" s="35" t="s">
        <v>48</v>
      </c>
      <c r="K1062" s="35" t="s">
        <v>1541</v>
      </c>
      <c r="L1062" s="35" t="s">
        <v>1542</v>
      </c>
      <c r="M1062" s="35" t="s">
        <v>67</v>
      </c>
      <c r="N1062" s="327"/>
      <c r="O1062" s="35" t="s">
        <v>26</v>
      </c>
    </row>
    <row r="1063" spans="1:15" ht="13">
      <c r="A1063" s="33">
        <v>43987.260459652782</v>
      </c>
      <c r="B1063" s="35" t="s">
        <v>4757</v>
      </c>
      <c r="C1063" s="328" t="s">
        <v>1537</v>
      </c>
      <c r="D1063" s="328" t="s">
        <v>4758</v>
      </c>
      <c r="E1063" s="38" t="s">
        <v>4759</v>
      </c>
      <c r="F1063" s="328" t="s">
        <v>4762</v>
      </c>
      <c r="G1063" s="328" t="s">
        <v>519</v>
      </c>
      <c r="H1063" s="328" t="s">
        <v>33</v>
      </c>
      <c r="I1063" s="328" t="s">
        <v>4763</v>
      </c>
      <c r="J1063" s="328" t="s">
        <v>81</v>
      </c>
      <c r="K1063" s="327"/>
      <c r="M1063" s="328" t="s">
        <v>67</v>
      </c>
      <c r="N1063" s="327"/>
      <c r="O1063" s="35" t="s">
        <v>26</v>
      </c>
    </row>
    <row r="1064" spans="1:15" ht="13">
      <c r="A1064" s="33">
        <v>43987.276816400466</v>
      </c>
      <c r="B1064" s="35" t="s">
        <v>6316</v>
      </c>
      <c r="C1064" s="35" t="s">
        <v>6317</v>
      </c>
      <c r="D1064" s="35" t="s">
        <v>6318</v>
      </c>
      <c r="E1064" s="38" t="s">
        <v>6319</v>
      </c>
      <c r="F1064" s="328" t="s">
        <v>6320</v>
      </c>
      <c r="G1064" s="35" t="s">
        <v>63</v>
      </c>
      <c r="H1064" s="35" t="s">
        <v>33</v>
      </c>
      <c r="I1064" s="35" t="s">
        <v>425</v>
      </c>
      <c r="J1064" s="35" t="s">
        <v>48</v>
      </c>
      <c r="K1064" s="328" t="s">
        <v>6321</v>
      </c>
      <c r="M1064" s="35" t="s">
        <v>83</v>
      </c>
      <c r="N1064" s="327"/>
      <c r="O1064" s="35" t="s">
        <v>26</v>
      </c>
    </row>
    <row r="1065" spans="1:15" ht="13" hidden="1">
      <c r="A1065" s="33">
        <v>43987.290733287038</v>
      </c>
      <c r="B1065" s="35" t="s">
        <v>8936</v>
      </c>
      <c r="C1065" s="35" t="s">
        <v>8937</v>
      </c>
      <c r="D1065" s="35" t="s">
        <v>7462</v>
      </c>
      <c r="E1065" s="38" t="s">
        <v>8938</v>
      </c>
      <c r="G1065" s="35" t="s">
        <v>394</v>
      </c>
      <c r="H1065" s="35" t="s">
        <v>387</v>
      </c>
      <c r="I1065" s="35" t="s">
        <v>8945</v>
      </c>
      <c r="J1065" s="35" t="s">
        <v>48</v>
      </c>
      <c r="K1065" s="35" t="s">
        <v>8946</v>
      </c>
      <c r="L1065" s="35" t="s">
        <v>8947</v>
      </c>
      <c r="M1065" s="35" t="s">
        <v>83</v>
      </c>
      <c r="N1065" s="35" t="s">
        <v>8948</v>
      </c>
      <c r="O1065" s="35" t="s">
        <v>26</v>
      </c>
    </row>
    <row r="1066" spans="1:15" ht="13">
      <c r="A1066" s="33">
        <v>43987.320901550927</v>
      </c>
      <c r="B1066" s="35" t="s">
        <v>3558</v>
      </c>
      <c r="C1066" s="35" t="s">
        <v>3559</v>
      </c>
      <c r="D1066" s="35" t="s">
        <v>3560</v>
      </c>
      <c r="E1066" s="38" t="s">
        <v>3561</v>
      </c>
      <c r="F1066" s="328" t="s">
        <v>3562</v>
      </c>
      <c r="G1066" s="35" t="s">
        <v>3526</v>
      </c>
      <c r="H1066" s="35" t="s">
        <v>33</v>
      </c>
      <c r="I1066" s="35" t="s">
        <v>3563</v>
      </c>
      <c r="J1066" s="35" t="s">
        <v>35</v>
      </c>
      <c r="K1066" s="328" t="s">
        <v>3564</v>
      </c>
      <c r="M1066" s="35" t="s">
        <v>83</v>
      </c>
      <c r="O1066" s="35" t="s">
        <v>26</v>
      </c>
    </row>
    <row r="1067" spans="1:15" ht="13">
      <c r="A1067" s="33">
        <v>43987.347011203703</v>
      </c>
      <c r="B1067" s="35" t="s">
        <v>2845</v>
      </c>
      <c r="C1067" s="35" t="s">
        <v>2846</v>
      </c>
      <c r="D1067" s="35" t="s">
        <v>2825</v>
      </c>
      <c r="E1067" s="38" t="s">
        <v>2847</v>
      </c>
      <c r="F1067" s="328" t="s">
        <v>2848</v>
      </c>
      <c r="G1067" s="35" t="s">
        <v>2849</v>
      </c>
      <c r="H1067" s="35" t="s">
        <v>33</v>
      </c>
      <c r="I1067" s="35" t="s">
        <v>2850</v>
      </c>
      <c r="J1067" s="35" t="s">
        <v>104</v>
      </c>
      <c r="K1067" s="328" t="s">
        <v>2851</v>
      </c>
      <c r="L1067" s="328" t="s">
        <v>2852</v>
      </c>
      <c r="M1067" s="35" t="s">
        <v>83</v>
      </c>
      <c r="O1067" s="35" t="s">
        <v>26</v>
      </c>
    </row>
    <row r="1068" spans="1:15" ht="13">
      <c r="A1068" s="33">
        <v>43987.362547314813</v>
      </c>
      <c r="B1068" s="35" t="s">
        <v>2580</v>
      </c>
      <c r="C1068" s="35" t="s">
        <v>2581</v>
      </c>
      <c r="D1068" s="35" t="s">
        <v>2582</v>
      </c>
      <c r="E1068" s="38" t="s">
        <v>2583</v>
      </c>
      <c r="F1068" s="328" t="s">
        <v>2584</v>
      </c>
      <c r="G1068" s="35" t="s">
        <v>505</v>
      </c>
      <c r="H1068" s="35" t="s">
        <v>33</v>
      </c>
      <c r="I1068" s="35" t="s">
        <v>2585</v>
      </c>
      <c r="J1068" s="35" t="s">
        <v>35</v>
      </c>
      <c r="K1068" s="327"/>
      <c r="L1068" s="327"/>
      <c r="M1068" s="35" t="s">
        <v>83</v>
      </c>
      <c r="N1068" s="327"/>
      <c r="O1068" s="35" t="s">
        <v>26</v>
      </c>
    </row>
    <row r="1069" spans="1:15" ht="13" hidden="1">
      <c r="A1069" s="33">
        <v>43987.368970636569</v>
      </c>
      <c r="B1069" s="35" t="s">
        <v>8973</v>
      </c>
      <c r="C1069" s="35" t="s">
        <v>8974</v>
      </c>
      <c r="D1069" s="35" t="s">
        <v>8975</v>
      </c>
      <c r="E1069" s="38" t="s">
        <v>8976</v>
      </c>
      <c r="G1069" s="35" t="s">
        <v>8977</v>
      </c>
      <c r="H1069" s="35" t="s">
        <v>8978</v>
      </c>
      <c r="I1069" s="35" t="s">
        <v>8979</v>
      </c>
      <c r="J1069" s="35" t="s">
        <v>35</v>
      </c>
      <c r="K1069" s="35" t="s">
        <v>8980</v>
      </c>
      <c r="L1069" s="35" t="s">
        <v>8981</v>
      </c>
      <c r="M1069" s="35" t="s">
        <v>83</v>
      </c>
      <c r="O1069" s="35" t="s">
        <v>26</v>
      </c>
    </row>
    <row r="1070" spans="1:15" ht="13" hidden="1">
      <c r="A1070" s="33">
        <v>43987.399867719912</v>
      </c>
      <c r="B1070" s="35" t="s">
        <v>8982</v>
      </c>
      <c r="C1070" s="35" t="s">
        <v>8983</v>
      </c>
      <c r="D1070" s="35" t="s">
        <v>8984</v>
      </c>
      <c r="E1070" s="38" t="s">
        <v>8985</v>
      </c>
      <c r="G1070" s="35" t="s">
        <v>394</v>
      </c>
      <c r="H1070" s="35" t="s">
        <v>46</v>
      </c>
      <c r="I1070" s="35" t="s">
        <v>8986</v>
      </c>
      <c r="J1070" s="35" t="s">
        <v>48</v>
      </c>
      <c r="K1070" s="35" t="s">
        <v>8987</v>
      </c>
      <c r="M1070" s="35" t="s">
        <v>83</v>
      </c>
      <c r="O1070" s="35" t="s">
        <v>26</v>
      </c>
    </row>
    <row r="1071" spans="1:15" ht="13" hidden="1">
      <c r="A1071" s="33">
        <v>43987.428230810183</v>
      </c>
      <c r="B1071" s="35" t="s">
        <v>8989</v>
      </c>
      <c r="C1071" s="35" t="s">
        <v>8990</v>
      </c>
      <c r="D1071" s="35" t="s">
        <v>8991</v>
      </c>
      <c r="E1071" s="38" t="s">
        <v>8992</v>
      </c>
      <c r="G1071" s="35" t="s">
        <v>8993</v>
      </c>
      <c r="H1071" s="35" t="s">
        <v>8994</v>
      </c>
      <c r="I1071" s="35" t="s">
        <v>8995</v>
      </c>
      <c r="J1071" s="35" t="s">
        <v>104</v>
      </c>
      <c r="M1071" s="35" t="s">
        <v>67</v>
      </c>
      <c r="N1071" s="35" t="s">
        <v>8996</v>
      </c>
      <c r="O1071" s="35" t="s">
        <v>26</v>
      </c>
    </row>
    <row r="1072" spans="1:15" ht="13">
      <c r="A1072" s="33">
        <v>43987.622393680555</v>
      </c>
      <c r="B1072" s="35" t="s">
        <v>6760</v>
      </c>
      <c r="C1072" s="35" t="s">
        <v>6761</v>
      </c>
      <c r="D1072" s="35" t="s">
        <v>5276</v>
      </c>
      <c r="E1072" s="38" t="s">
        <v>6762</v>
      </c>
      <c r="F1072" s="327"/>
      <c r="G1072" s="35" t="s">
        <v>802</v>
      </c>
      <c r="H1072" s="35" t="s">
        <v>33</v>
      </c>
      <c r="I1072" s="35" t="s">
        <v>425</v>
      </c>
      <c r="J1072" s="35" t="s">
        <v>104</v>
      </c>
      <c r="K1072" s="327"/>
      <c r="L1072" s="327"/>
      <c r="M1072" s="35" t="s">
        <v>83</v>
      </c>
      <c r="N1072" s="327"/>
      <c r="O1072" s="35" t="s">
        <v>26</v>
      </c>
    </row>
    <row r="1073" spans="1:15" ht="13">
      <c r="A1073" s="33">
        <v>43987.793257731479</v>
      </c>
      <c r="B1073" s="35" t="s">
        <v>2894</v>
      </c>
      <c r="C1073" s="35" t="s">
        <v>2895</v>
      </c>
      <c r="D1073" s="35" t="s">
        <v>2896</v>
      </c>
      <c r="E1073" s="328" t="s">
        <v>2894</v>
      </c>
      <c r="F1073" s="328" t="s">
        <v>2897</v>
      </c>
      <c r="G1073" s="35" t="s">
        <v>2849</v>
      </c>
      <c r="H1073" s="35" t="s">
        <v>33</v>
      </c>
      <c r="I1073" s="35" t="s">
        <v>2898</v>
      </c>
      <c r="J1073" s="35" t="s">
        <v>35</v>
      </c>
      <c r="K1073" s="328" t="s">
        <v>2899</v>
      </c>
      <c r="L1073" s="327"/>
      <c r="M1073" s="35" t="s">
        <v>67</v>
      </c>
      <c r="N1073" s="327"/>
      <c r="O1073" s="35" t="s">
        <v>26</v>
      </c>
    </row>
    <row r="1074" spans="1:15" ht="14">
      <c r="A1074" s="33">
        <v>43987.819013391199</v>
      </c>
      <c r="B1074" s="313" t="s">
        <v>9211</v>
      </c>
      <c r="C1074" s="308" t="s">
        <v>86</v>
      </c>
      <c r="D1074" s="313" t="s">
        <v>87</v>
      </c>
      <c r="E1074" s="312" t="s">
        <v>9212</v>
      </c>
      <c r="F1074" s="313"/>
      <c r="G1074" s="313" t="s">
        <v>32</v>
      </c>
      <c r="H1074" s="313" t="s">
        <v>33</v>
      </c>
      <c r="I1074" s="313" t="s">
        <v>2959</v>
      </c>
      <c r="J1074" s="313"/>
      <c r="K1074" s="313"/>
      <c r="L1074" s="313"/>
      <c r="M1074" s="313"/>
      <c r="N1074" s="313"/>
      <c r="O1074" s="35" t="s">
        <v>26</v>
      </c>
    </row>
    <row r="1075" spans="1:15" ht="13" hidden="1">
      <c r="A1075" s="33">
        <v>43987.853205949075</v>
      </c>
      <c r="B1075" s="35" t="s">
        <v>8752</v>
      </c>
      <c r="C1075" s="35" t="s">
        <v>8753</v>
      </c>
      <c r="D1075" s="35" t="s">
        <v>6832</v>
      </c>
      <c r="E1075" s="38" t="s">
        <v>8754</v>
      </c>
      <c r="G1075" s="35" t="s">
        <v>63</v>
      </c>
      <c r="H1075" s="35" t="s">
        <v>46</v>
      </c>
      <c r="I1075" s="35" t="s">
        <v>8759</v>
      </c>
      <c r="J1075" s="35" t="s">
        <v>104</v>
      </c>
      <c r="K1075" s="35" t="s">
        <v>8761</v>
      </c>
      <c r="M1075" s="35" t="s">
        <v>83</v>
      </c>
      <c r="N1075" s="35" t="s">
        <v>551</v>
      </c>
      <c r="O1075" s="35" t="s">
        <v>26</v>
      </c>
    </row>
    <row r="1076" spans="1:15" ht="14">
      <c r="A1076" s="33">
        <v>43987.868770601854</v>
      </c>
      <c r="B1076" s="313" t="s">
        <v>9213</v>
      </c>
      <c r="C1076" s="308" t="s">
        <v>86</v>
      </c>
      <c r="D1076" s="313" t="s">
        <v>87</v>
      </c>
      <c r="E1076" s="312" t="s">
        <v>9214</v>
      </c>
      <c r="F1076" s="313"/>
      <c r="G1076" s="313" t="s">
        <v>32</v>
      </c>
      <c r="H1076" s="313" t="s">
        <v>33</v>
      </c>
      <c r="I1076" s="313" t="s">
        <v>2959</v>
      </c>
      <c r="J1076" s="313"/>
      <c r="K1076" s="313"/>
      <c r="L1076" s="313"/>
      <c r="M1076" s="313"/>
      <c r="N1076" s="313"/>
      <c r="O1076" s="35" t="s">
        <v>26</v>
      </c>
    </row>
    <row r="1077" spans="1:15" ht="13">
      <c r="A1077" s="33">
        <v>43987.869073275462</v>
      </c>
      <c r="B1077" s="35" t="s">
        <v>9485</v>
      </c>
      <c r="C1077" s="35" t="s">
        <v>9486</v>
      </c>
      <c r="D1077" s="35" t="s">
        <v>2380</v>
      </c>
      <c r="E1077" s="304" t="s">
        <v>9487</v>
      </c>
      <c r="F1077" s="328" t="s">
        <v>9488</v>
      </c>
      <c r="G1077" s="35" t="s">
        <v>5588</v>
      </c>
      <c r="H1077" s="35" t="s">
        <v>33</v>
      </c>
      <c r="I1077" s="319" t="s">
        <v>9423</v>
      </c>
      <c r="J1077" s="327"/>
      <c r="K1077" s="327"/>
      <c r="M1077" s="327"/>
      <c r="N1077" s="327"/>
      <c r="O1077" s="35" t="s">
        <v>26</v>
      </c>
    </row>
    <row r="1078" spans="1:15" ht="13">
      <c r="A1078" s="33">
        <v>43987.869884398147</v>
      </c>
      <c r="B1078" s="35" t="s">
        <v>9489</v>
      </c>
      <c r="C1078" s="35" t="s">
        <v>9486</v>
      </c>
      <c r="D1078" s="35" t="s">
        <v>2380</v>
      </c>
      <c r="E1078" s="304" t="s">
        <v>9490</v>
      </c>
      <c r="F1078" s="328" t="s">
        <v>9491</v>
      </c>
      <c r="G1078" s="35" t="s">
        <v>5588</v>
      </c>
      <c r="H1078" s="35" t="s">
        <v>33</v>
      </c>
      <c r="I1078" s="319" t="s">
        <v>9423</v>
      </c>
      <c r="J1078" s="327"/>
      <c r="K1078" s="327"/>
      <c r="L1078" s="327"/>
      <c r="M1078" s="327"/>
      <c r="N1078" s="327"/>
      <c r="O1078" s="35" t="s">
        <v>26</v>
      </c>
    </row>
    <row r="1079" spans="1:15" ht="13" hidden="1">
      <c r="A1079" s="33">
        <v>43987.869902685183</v>
      </c>
      <c r="B1079" s="35" t="s">
        <v>9023</v>
      </c>
      <c r="C1079" s="35" t="s">
        <v>6211</v>
      </c>
      <c r="D1079" s="38" t="s">
        <v>3567</v>
      </c>
      <c r="E1079" s="38" t="s">
        <v>9024</v>
      </c>
      <c r="G1079" s="35" t="s">
        <v>931</v>
      </c>
      <c r="H1079" s="35" t="s">
        <v>46</v>
      </c>
      <c r="I1079" s="35" t="s">
        <v>9025</v>
      </c>
      <c r="J1079" s="35" t="s">
        <v>35</v>
      </c>
      <c r="M1079" s="35" t="s">
        <v>83</v>
      </c>
      <c r="N1079" s="35" t="s">
        <v>581</v>
      </c>
      <c r="O1079" s="35" t="s">
        <v>26</v>
      </c>
    </row>
    <row r="1080" spans="1:15" ht="13">
      <c r="A1080" s="33">
        <v>43987.975822291672</v>
      </c>
      <c r="B1080" s="35" t="s">
        <v>9495</v>
      </c>
      <c r="C1080" s="35" t="s">
        <v>9486</v>
      </c>
      <c r="D1080" s="35" t="s">
        <v>2380</v>
      </c>
      <c r="E1080" s="304" t="s">
        <v>9496</v>
      </c>
      <c r="F1080" s="328" t="s">
        <v>9497</v>
      </c>
      <c r="G1080" s="35" t="s">
        <v>5588</v>
      </c>
      <c r="H1080" s="35" t="s">
        <v>33</v>
      </c>
      <c r="I1080" s="319" t="s">
        <v>9423</v>
      </c>
      <c r="J1080" s="327"/>
      <c r="K1080" s="327"/>
      <c r="L1080" s="327"/>
      <c r="M1080" s="327"/>
      <c r="O1080" s="35" t="s">
        <v>26</v>
      </c>
    </row>
    <row r="1081" spans="1:15" ht="13">
      <c r="A1081" s="33">
        <v>43987.993695034718</v>
      </c>
      <c r="B1081" s="35" t="s">
        <v>3274</v>
      </c>
      <c r="C1081" s="35" t="s">
        <v>3275</v>
      </c>
      <c r="D1081" s="35" t="s">
        <v>3276</v>
      </c>
      <c r="E1081" s="38" t="s">
        <v>3277</v>
      </c>
      <c r="F1081" s="328" t="s">
        <v>3278</v>
      </c>
      <c r="G1081" s="35" t="s">
        <v>519</v>
      </c>
      <c r="H1081" s="35" t="s">
        <v>33</v>
      </c>
      <c r="I1081" s="35" t="s">
        <v>3279</v>
      </c>
      <c r="J1081" s="35" t="s">
        <v>48</v>
      </c>
      <c r="K1081" s="328" t="s">
        <v>3281</v>
      </c>
      <c r="L1081" s="328" t="s">
        <v>3282</v>
      </c>
      <c r="M1081" s="35" t="s">
        <v>67</v>
      </c>
      <c r="N1081" s="328" t="s">
        <v>3283</v>
      </c>
      <c r="O1081" s="35" t="s">
        <v>26</v>
      </c>
    </row>
    <row r="1082" spans="1:15" ht="13">
      <c r="A1082" s="33">
        <v>43988.016116701387</v>
      </c>
      <c r="B1082" s="35" t="s">
        <v>4267</v>
      </c>
      <c r="C1082" s="35" t="s">
        <v>4268</v>
      </c>
      <c r="D1082" s="35" t="s">
        <v>4270</v>
      </c>
      <c r="E1082" s="35" t="s">
        <v>4271</v>
      </c>
      <c r="F1082" s="328" t="s">
        <v>4272</v>
      </c>
      <c r="G1082" s="35" t="s">
        <v>322</v>
      </c>
      <c r="H1082" s="35" t="s">
        <v>33</v>
      </c>
      <c r="I1082" s="35" t="s">
        <v>4274</v>
      </c>
      <c r="J1082" s="35" t="s">
        <v>48</v>
      </c>
      <c r="K1082" s="327"/>
      <c r="L1082" s="328" t="s">
        <v>4275</v>
      </c>
      <c r="M1082" s="35" t="s">
        <v>83</v>
      </c>
      <c r="O1082" s="35" t="s">
        <v>26</v>
      </c>
    </row>
    <row r="1083" spans="1:15" ht="13" hidden="1">
      <c r="A1083" s="33">
        <v>43988.024568252316</v>
      </c>
      <c r="B1083" s="35" t="s">
        <v>9044</v>
      </c>
      <c r="C1083" s="35" t="s">
        <v>9045</v>
      </c>
      <c r="D1083" s="35" t="s">
        <v>1153</v>
      </c>
      <c r="E1083" s="38" t="s">
        <v>9046</v>
      </c>
      <c r="G1083" s="35" t="s">
        <v>5949</v>
      </c>
      <c r="H1083" s="35" t="s">
        <v>399</v>
      </c>
      <c r="I1083" s="35" t="s">
        <v>9047</v>
      </c>
      <c r="J1083" s="35" t="s">
        <v>35</v>
      </c>
      <c r="K1083" s="35" t="s">
        <v>9048</v>
      </c>
      <c r="L1083" s="35" t="s">
        <v>9049</v>
      </c>
      <c r="M1083" s="35" t="s">
        <v>83</v>
      </c>
      <c r="O1083" s="35" t="s">
        <v>26</v>
      </c>
    </row>
    <row r="1084" spans="1:15" ht="13">
      <c r="A1084" s="33">
        <v>43988.030958020834</v>
      </c>
      <c r="B1084" s="35" t="s">
        <v>5845</v>
      </c>
      <c r="C1084" s="35" t="s">
        <v>5846</v>
      </c>
      <c r="D1084" s="35" t="s">
        <v>5847</v>
      </c>
      <c r="E1084" s="38" t="s">
        <v>5848</v>
      </c>
      <c r="F1084" s="328" t="s">
        <v>5849</v>
      </c>
      <c r="G1084" s="35" t="s">
        <v>5850</v>
      </c>
      <c r="H1084" s="35" t="s">
        <v>33</v>
      </c>
      <c r="I1084" s="35" t="s">
        <v>5851</v>
      </c>
      <c r="J1084" s="35" t="s">
        <v>104</v>
      </c>
      <c r="K1084" s="327"/>
      <c r="L1084" s="327"/>
      <c r="M1084" s="35" t="s">
        <v>83</v>
      </c>
      <c r="N1084" s="327"/>
      <c r="O1084" s="35" t="s">
        <v>26</v>
      </c>
    </row>
    <row r="1085" spans="1:15" ht="13">
      <c r="A1085" s="33">
        <v>43988.042859131943</v>
      </c>
      <c r="B1085" s="35" t="s">
        <v>8955</v>
      </c>
      <c r="C1085" s="35" t="s">
        <v>8956</v>
      </c>
      <c r="D1085" s="35" t="s">
        <v>6309</v>
      </c>
      <c r="E1085" s="38" t="s">
        <v>8958</v>
      </c>
      <c r="F1085" s="327"/>
      <c r="G1085" s="35" t="s">
        <v>296</v>
      </c>
      <c r="H1085" s="35" t="s">
        <v>33</v>
      </c>
      <c r="I1085" s="35" t="s">
        <v>15</v>
      </c>
      <c r="J1085" s="35" t="s">
        <v>104</v>
      </c>
      <c r="K1085" s="35" t="s">
        <v>8959</v>
      </c>
      <c r="L1085" s="328" t="s">
        <v>8960</v>
      </c>
      <c r="M1085" s="35" t="s">
        <v>83</v>
      </c>
      <c r="O1085" s="35" t="s">
        <v>26</v>
      </c>
    </row>
    <row r="1086" spans="1:15" ht="13" hidden="1">
      <c r="A1086" s="33">
        <v>43988.057235266198</v>
      </c>
      <c r="B1086" s="35" t="s">
        <v>9064</v>
      </c>
      <c r="C1086" s="35" t="s">
        <v>9065</v>
      </c>
      <c r="D1086" s="35" t="s">
        <v>9066</v>
      </c>
      <c r="E1086" s="38" t="s">
        <v>9067</v>
      </c>
      <c r="G1086" s="35" t="s">
        <v>9068</v>
      </c>
      <c r="H1086" s="35" t="s">
        <v>126</v>
      </c>
      <c r="I1086" s="35" t="s">
        <v>3324</v>
      </c>
      <c r="J1086" s="35" t="s">
        <v>35</v>
      </c>
      <c r="K1086" s="35" t="s">
        <v>9069</v>
      </c>
      <c r="M1086" s="35" t="s">
        <v>83</v>
      </c>
      <c r="N1086" s="35" t="s">
        <v>9070</v>
      </c>
      <c r="O1086" s="35" t="s">
        <v>26</v>
      </c>
    </row>
    <row r="1087" spans="1:15" ht="13" hidden="1">
      <c r="A1087" s="33">
        <v>43988.087264814814</v>
      </c>
      <c r="B1087" s="35" t="s">
        <v>9071</v>
      </c>
      <c r="C1087" s="35" t="s">
        <v>9072</v>
      </c>
      <c r="D1087" s="35" t="s">
        <v>8568</v>
      </c>
      <c r="E1087" s="38" t="s">
        <v>9073</v>
      </c>
      <c r="G1087" s="35" t="s">
        <v>1471</v>
      </c>
      <c r="H1087" s="35" t="s">
        <v>9074</v>
      </c>
      <c r="I1087" s="35" t="s">
        <v>8904</v>
      </c>
      <c r="J1087" s="35" t="s">
        <v>48</v>
      </c>
      <c r="K1087" s="35" t="s">
        <v>9075</v>
      </c>
      <c r="L1087" s="35" t="s">
        <v>9076</v>
      </c>
      <c r="M1087" s="35" t="s">
        <v>83</v>
      </c>
      <c r="N1087" s="35" t="s">
        <v>9077</v>
      </c>
      <c r="O1087" s="35" t="s">
        <v>26</v>
      </c>
    </row>
    <row r="1088" spans="1:15" ht="13">
      <c r="A1088" s="33">
        <v>43988.105941238427</v>
      </c>
      <c r="B1088" s="35" t="s">
        <v>5121</v>
      </c>
      <c r="C1088" s="35" t="s">
        <v>5122</v>
      </c>
      <c r="D1088" s="35" t="s">
        <v>1566</v>
      </c>
      <c r="E1088" s="38" t="s">
        <v>5123</v>
      </c>
      <c r="F1088" s="328" t="s">
        <v>5130</v>
      </c>
      <c r="G1088" s="35" t="s">
        <v>1615</v>
      </c>
      <c r="H1088" s="35" t="s">
        <v>33</v>
      </c>
      <c r="I1088" s="35" t="s">
        <v>15</v>
      </c>
      <c r="J1088" s="35" t="s">
        <v>104</v>
      </c>
      <c r="K1088" s="327"/>
      <c r="L1088" s="327"/>
      <c r="M1088" s="35" t="s">
        <v>83</v>
      </c>
      <c r="O1088" s="35" t="s">
        <v>26</v>
      </c>
    </row>
    <row r="1089" spans="1:15" ht="13">
      <c r="A1089" s="33">
        <v>43988.17272555556</v>
      </c>
      <c r="B1089" s="35" t="s">
        <v>5121</v>
      </c>
      <c r="C1089" s="35" t="s">
        <v>5122</v>
      </c>
      <c r="D1089" s="35" t="s">
        <v>5219</v>
      </c>
      <c r="E1089" s="38" t="s">
        <v>5123</v>
      </c>
      <c r="F1089" s="328" t="s">
        <v>5130</v>
      </c>
      <c r="G1089" s="35" t="s">
        <v>1633</v>
      </c>
      <c r="H1089" s="35" t="s">
        <v>33</v>
      </c>
      <c r="I1089" s="35" t="s">
        <v>5223</v>
      </c>
      <c r="J1089" s="35" t="s">
        <v>104</v>
      </c>
      <c r="K1089" s="327"/>
      <c r="L1089" s="327"/>
      <c r="M1089" s="35" t="s">
        <v>83</v>
      </c>
      <c r="O1089" s="35" t="s">
        <v>26</v>
      </c>
    </row>
    <row r="1090" spans="1:15" ht="13">
      <c r="A1090" s="33">
        <v>43988.217360439812</v>
      </c>
      <c r="B1090" s="35" t="s">
        <v>4250</v>
      </c>
      <c r="C1090" s="35" t="s">
        <v>4251</v>
      </c>
      <c r="D1090" s="35" t="s">
        <v>4252</v>
      </c>
      <c r="E1090" s="38" t="s">
        <v>4253</v>
      </c>
      <c r="F1090" s="328" t="s">
        <v>4255</v>
      </c>
      <c r="G1090" s="35" t="s">
        <v>4256</v>
      </c>
      <c r="H1090" s="35" t="s">
        <v>33</v>
      </c>
      <c r="I1090" s="35" t="s">
        <v>4257</v>
      </c>
      <c r="J1090" s="35" t="s">
        <v>746</v>
      </c>
      <c r="K1090" s="328" t="s">
        <v>4258</v>
      </c>
      <c r="M1090" s="35" t="s">
        <v>83</v>
      </c>
      <c r="N1090" s="328" t="s">
        <v>4259</v>
      </c>
      <c r="O1090" s="35" t="s">
        <v>26</v>
      </c>
    </row>
    <row r="1091" spans="1:15" ht="13" hidden="1">
      <c r="A1091" s="33">
        <v>43988.292112071758</v>
      </c>
      <c r="B1091" s="35" t="s">
        <v>7779</v>
      </c>
      <c r="C1091" s="35" t="s">
        <v>1576</v>
      </c>
      <c r="D1091" s="35" t="s">
        <v>9093</v>
      </c>
      <c r="E1091" s="38" t="s">
        <v>7781</v>
      </c>
      <c r="G1091" s="35" t="s">
        <v>7824</v>
      </c>
      <c r="H1091" s="35" t="s">
        <v>506</v>
      </c>
      <c r="I1091" s="35" t="s">
        <v>9094</v>
      </c>
      <c r="J1091" s="35" t="s">
        <v>81</v>
      </c>
      <c r="K1091" s="35" t="s">
        <v>9094</v>
      </c>
      <c r="L1091" s="35" t="s">
        <v>9095</v>
      </c>
      <c r="M1091" s="35" t="s">
        <v>83</v>
      </c>
      <c r="N1091" s="35" t="s">
        <v>9096</v>
      </c>
      <c r="O1091" s="35" t="s">
        <v>26</v>
      </c>
    </row>
    <row r="1092" spans="1:15" ht="13">
      <c r="A1092" s="33">
        <v>43988.391247418986</v>
      </c>
      <c r="B1092" s="35" t="s">
        <v>8893</v>
      </c>
      <c r="C1092" s="35" t="s">
        <v>8894</v>
      </c>
      <c r="D1092" s="35" t="s">
        <v>6846</v>
      </c>
      <c r="E1092" s="38" t="s">
        <v>8895</v>
      </c>
      <c r="G1092" s="35" t="s">
        <v>363</v>
      </c>
      <c r="H1092" s="35" t="s">
        <v>33</v>
      </c>
      <c r="I1092" s="35" t="s">
        <v>8899</v>
      </c>
      <c r="J1092" s="35" t="s">
        <v>48</v>
      </c>
      <c r="K1092" s="327"/>
      <c r="L1092" s="327"/>
      <c r="M1092" s="35" t="s">
        <v>83</v>
      </c>
      <c r="O1092" s="35" t="s">
        <v>26</v>
      </c>
    </row>
    <row r="1093" spans="1:15" ht="13" hidden="1">
      <c r="A1093" s="33">
        <v>43988.728904814816</v>
      </c>
      <c r="B1093" s="35" t="s">
        <v>9101</v>
      </c>
      <c r="C1093" s="35" t="s">
        <v>9102</v>
      </c>
      <c r="D1093" s="35" t="s">
        <v>9103</v>
      </c>
      <c r="E1093" s="38" t="s">
        <v>9104</v>
      </c>
      <c r="G1093" s="35" t="s">
        <v>9105</v>
      </c>
      <c r="H1093" s="35" t="s">
        <v>4810</v>
      </c>
      <c r="I1093" s="35" t="s">
        <v>9106</v>
      </c>
      <c r="J1093" s="35" t="s">
        <v>566</v>
      </c>
      <c r="K1093" s="35" t="s">
        <v>9107</v>
      </c>
      <c r="L1093" s="35" t="s">
        <v>9108</v>
      </c>
      <c r="M1093" s="35" t="s">
        <v>67</v>
      </c>
      <c r="N1093" s="35" t="s">
        <v>9109</v>
      </c>
      <c r="O1093" s="35" t="s">
        <v>26</v>
      </c>
    </row>
    <row r="1094" spans="1:15" ht="13">
      <c r="A1094" s="33">
        <v>43988.917678437501</v>
      </c>
      <c r="B1094" s="35" t="s">
        <v>1170</v>
      </c>
      <c r="C1094" s="35" t="s">
        <v>1171</v>
      </c>
      <c r="D1094" s="35" t="s">
        <v>1172</v>
      </c>
      <c r="E1094" s="38" t="s">
        <v>1173</v>
      </c>
      <c r="F1094" s="328" t="s">
        <v>1174</v>
      </c>
      <c r="G1094" s="35" t="s">
        <v>1175</v>
      </c>
      <c r="H1094" s="35" t="s">
        <v>33</v>
      </c>
      <c r="I1094" s="35" t="s">
        <v>1176</v>
      </c>
      <c r="J1094" s="35" t="s">
        <v>104</v>
      </c>
      <c r="K1094" s="35" t="s">
        <v>1177</v>
      </c>
      <c r="L1094" s="35" t="s">
        <v>1178</v>
      </c>
      <c r="M1094" s="35" t="s">
        <v>83</v>
      </c>
      <c r="N1094" s="328" t="s">
        <v>1179</v>
      </c>
      <c r="O1094" s="35" t="s">
        <v>26</v>
      </c>
    </row>
    <row r="1095" spans="1:15" ht="13">
      <c r="A1095" s="33">
        <v>43988.966593402773</v>
      </c>
      <c r="B1095" s="35" t="s">
        <v>8564</v>
      </c>
      <c r="C1095" s="35" t="s">
        <v>1171</v>
      </c>
      <c r="D1095" s="35" t="s">
        <v>8565</v>
      </c>
      <c r="E1095" s="38" t="s">
        <v>8566</v>
      </c>
      <c r="F1095" s="327"/>
      <c r="G1095" s="35" t="s">
        <v>8567</v>
      </c>
      <c r="H1095" s="35" t="s">
        <v>33</v>
      </c>
      <c r="I1095" s="35" t="s">
        <v>5979</v>
      </c>
      <c r="J1095" s="35" t="s">
        <v>48</v>
      </c>
      <c r="K1095" s="327"/>
      <c r="L1095" s="327"/>
      <c r="M1095" s="35" t="s">
        <v>67</v>
      </c>
      <c r="O1095" s="35" t="s">
        <v>26</v>
      </c>
    </row>
    <row r="1096" spans="1:15" ht="13" hidden="1">
      <c r="A1096" s="33">
        <v>43989.052458738428</v>
      </c>
      <c r="B1096" s="35" t="s">
        <v>9123</v>
      </c>
      <c r="C1096" s="35" t="s">
        <v>1267</v>
      </c>
      <c r="D1096" s="35" t="s">
        <v>7485</v>
      </c>
      <c r="E1096" s="38" t="s">
        <v>9124</v>
      </c>
      <c r="G1096" s="35" t="s">
        <v>1615</v>
      </c>
      <c r="H1096" s="35" t="s">
        <v>2618</v>
      </c>
      <c r="I1096" s="35" t="s">
        <v>772</v>
      </c>
      <c r="J1096" s="35" t="s">
        <v>81</v>
      </c>
      <c r="M1096" s="35" t="s">
        <v>83</v>
      </c>
      <c r="N1096" s="35" t="s">
        <v>9125</v>
      </c>
      <c r="O1096" s="35" t="s">
        <v>26</v>
      </c>
    </row>
    <row r="1097" spans="1:15" ht="13">
      <c r="A1097" s="33">
        <v>43989.178691516208</v>
      </c>
      <c r="B1097" s="35" t="s">
        <v>4351</v>
      </c>
      <c r="C1097" s="35" t="s">
        <v>4352</v>
      </c>
      <c r="D1097" s="35" t="s">
        <v>1700</v>
      </c>
      <c r="E1097" s="38" t="s">
        <v>4355</v>
      </c>
      <c r="F1097" s="328" t="s">
        <v>4357</v>
      </c>
      <c r="G1097" s="35" t="s">
        <v>4358</v>
      </c>
      <c r="H1097" s="35" t="s">
        <v>33</v>
      </c>
      <c r="I1097" s="35" t="s">
        <v>4360</v>
      </c>
      <c r="J1097" s="35" t="s">
        <v>48</v>
      </c>
      <c r="K1097" s="328" t="s">
        <v>4361</v>
      </c>
      <c r="L1097" s="328" t="s">
        <v>4362</v>
      </c>
      <c r="M1097" s="35" t="s">
        <v>83</v>
      </c>
      <c r="O1097" s="35" t="s">
        <v>26</v>
      </c>
    </row>
    <row r="1098" spans="1:15" ht="13" hidden="1">
      <c r="A1098" s="33">
        <v>43989.236317696763</v>
      </c>
      <c r="B1098" s="35" t="s">
        <v>9129</v>
      </c>
      <c r="C1098" s="35" t="s">
        <v>1852</v>
      </c>
      <c r="D1098" s="35" t="s">
        <v>8036</v>
      </c>
      <c r="E1098" s="38" t="s">
        <v>9130</v>
      </c>
      <c r="G1098" s="35" t="s">
        <v>9131</v>
      </c>
      <c r="H1098" s="35" t="s">
        <v>46</v>
      </c>
      <c r="I1098" s="35" t="s">
        <v>425</v>
      </c>
      <c r="J1098" s="35" t="s">
        <v>81</v>
      </c>
      <c r="M1098" s="35" t="s">
        <v>83</v>
      </c>
      <c r="N1098" s="35" t="s">
        <v>4214</v>
      </c>
      <c r="O1098" s="35" t="s">
        <v>26</v>
      </c>
    </row>
    <row r="1099" spans="1:15" ht="13">
      <c r="A1099" s="33">
        <v>43989.255788993054</v>
      </c>
      <c r="B1099" s="35" t="s">
        <v>5342</v>
      </c>
      <c r="C1099" s="35" t="s">
        <v>5343</v>
      </c>
      <c r="D1099" s="35" t="s">
        <v>5063</v>
      </c>
      <c r="E1099" s="328" t="s">
        <v>5344</v>
      </c>
      <c r="F1099" s="328" t="s">
        <v>5345</v>
      </c>
      <c r="G1099" s="35" t="s">
        <v>505</v>
      </c>
      <c r="H1099" s="35" t="s">
        <v>33</v>
      </c>
      <c r="I1099" s="35" t="s">
        <v>5346</v>
      </c>
      <c r="J1099" s="35" t="s">
        <v>48</v>
      </c>
      <c r="K1099" s="328" t="s">
        <v>5347</v>
      </c>
      <c r="L1099" s="328" t="s">
        <v>5348</v>
      </c>
      <c r="M1099" s="35" t="s">
        <v>83</v>
      </c>
      <c r="O1099" s="35" t="s">
        <v>26</v>
      </c>
    </row>
    <row r="1100" spans="1:15" ht="13">
      <c r="A1100" s="33">
        <v>43989.258589062505</v>
      </c>
      <c r="B1100" s="35" t="s">
        <v>2139</v>
      </c>
      <c r="C1100" s="35" t="s">
        <v>2140</v>
      </c>
      <c r="D1100" s="35" t="s">
        <v>2141</v>
      </c>
      <c r="E1100" s="38" t="s">
        <v>2142</v>
      </c>
      <c r="F1100" s="328" t="s">
        <v>2143</v>
      </c>
      <c r="G1100" s="35" t="s">
        <v>63</v>
      </c>
      <c r="H1100" s="35" t="s">
        <v>33</v>
      </c>
      <c r="I1100" s="35" t="s">
        <v>2144</v>
      </c>
      <c r="J1100" s="35" t="s">
        <v>48</v>
      </c>
      <c r="K1100" s="327"/>
      <c r="L1100" s="327"/>
      <c r="M1100" s="35" t="s">
        <v>67</v>
      </c>
      <c r="O1100" s="35" t="s">
        <v>26</v>
      </c>
    </row>
    <row r="1101" spans="1:15" ht="13">
      <c r="A1101" s="33">
        <v>43989.763785150462</v>
      </c>
      <c r="B1101" s="35" t="s">
        <v>2473</v>
      </c>
      <c r="C1101" s="35" t="s">
        <v>2474</v>
      </c>
      <c r="D1101" s="35" t="s">
        <v>2475</v>
      </c>
      <c r="E1101" s="328" t="s">
        <v>2476</v>
      </c>
      <c r="F1101" s="328" t="s">
        <v>2477</v>
      </c>
      <c r="G1101" s="35" t="s">
        <v>709</v>
      </c>
      <c r="H1101" s="35" t="s">
        <v>33</v>
      </c>
      <c r="I1101" s="35" t="s">
        <v>2478</v>
      </c>
      <c r="J1101" s="35" t="s">
        <v>48</v>
      </c>
      <c r="K1101" s="327"/>
      <c r="L1101" s="327"/>
      <c r="M1101" s="35" t="s">
        <v>83</v>
      </c>
      <c r="N1101" s="327"/>
      <c r="O1101" s="35" t="s">
        <v>26</v>
      </c>
    </row>
    <row r="1102" spans="1:15" ht="13">
      <c r="A1102" s="33">
        <v>43989.793848009256</v>
      </c>
      <c r="B1102" s="35" t="s">
        <v>3367</v>
      </c>
      <c r="C1102" s="35" t="s">
        <v>3369</v>
      </c>
      <c r="D1102" s="328" t="s">
        <v>3370</v>
      </c>
      <c r="E1102" s="38" t="s">
        <v>3371</v>
      </c>
      <c r="F1102" s="328" t="s">
        <v>3373</v>
      </c>
      <c r="G1102" s="35" t="s">
        <v>702</v>
      </c>
      <c r="H1102" s="35" t="s">
        <v>33</v>
      </c>
      <c r="I1102" s="35" t="s">
        <v>3374</v>
      </c>
      <c r="J1102" s="35" t="s">
        <v>35</v>
      </c>
      <c r="M1102" s="35" t="s">
        <v>83</v>
      </c>
      <c r="O1102" s="35" t="s">
        <v>26</v>
      </c>
    </row>
    <row r="1103" spans="1:15" ht="13">
      <c r="A1103" s="33">
        <v>43989.795656030095</v>
      </c>
      <c r="B1103" s="35" t="s">
        <v>1413</v>
      </c>
      <c r="C1103" s="35" t="s">
        <v>1414</v>
      </c>
      <c r="D1103" s="328" t="s">
        <v>1415</v>
      </c>
      <c r="E1103" s="38" t="s">
        <v>1416</v>
      </c>
      <c r="F1103" s="328" t="s">
        <v>1417</v>
      </c>
      <c r="G1103" s="35" t="s">
        <v>1418</v>
      </c>
      <c r="H1103" s="35" t="s">
        <v>33</v>
      </c>
      <c r="I1103" s="35" t="s">
        <v>1420</v>
      </c>
      <c r="J1103" s="35" t="s">
        <v>48</v>
      </c>
      <c r="K1103" s="328" t="s">
        <v>1420</v>
      </c>
      <c r="L1103" s="328" t="s">
        <v>1420</v>
      </c>
      <c r="M1103" s="35" t="s">
        <v>83</v>
      </c>
      <c r="N1103" s="328" t="s">
        <v>1420</v>
      </c>
      <c r="O1103" s="35" t="s">
        <v>26</v>
      </c>
    </row>
    <row r="1104" spans="1:15" ht="13" hidden="1">
      <c r="A1104" s="33">
        <v>43989.832744386571</v>
      </c>
      <c r="B1104" s="35" t="s">
        <v>9158</v>
      </c>
      <c r="C1104" s="35" t="s">
        <v>9159</v>
      </c>
      <c r="D1104" s="35" t="s">
        <v>1046</v>
      </c>
      <c r="E1104" s="38" t="s">
        <v>9160</v>
      </c>
      <c r="G1104" s="35" t="s">
        <v>1739</v>
      </c>
      <c r="H1104" s="35" t="s">
        <v>46</v>
      </c>
      <c r="I1104" s="35" t="s">
        <v>9161</v>
      </c>
      <c r="J1104" s="35" t="s">
        <v>81</v>
      </c>
      <c r="M1104" s="35" t="s">
        <v>83</v>
      </c>
      <c r="N1104" s="35" t="s">
        <v>9162</v>
      </c>
      <c r="O1104" s="35" t="s">
        <v>26</v>
      </c>
    </row>
    <row r="1105" spans="1:21" ht="13" hidden="1">
      <c r="A1105" s="31"/>
      <c r="B1105" s="75"/>
      <c r="C1105" s="308"/>
      <c r="D1105" s="75"/>
      <c r="E1105" s="309"/>
      <c r="F1105" s="310"/>
      <c r="G1105" s="75"/>
      <c r="H1105" s="75"/>
      <c r="I1105" s="75"/>
      <c r="J1105" s="311"/>
      <c r="K1105" s="311"/>
      <c r="L1105" s="311"/>
      <c r="M1105" s="311"/>
      <c r="N1105" s="311"/>
      <c r="O1105" s="311"/>
      <c r="P1105" s="311"/>
      <c r="Q1105" s="311"/>
      <c r="R1105" s="311"/>
      <c r="S1105" s="311"/>
      <c r="T1105" s="311"/>
      <c r="U1105" s="31"/>
    </row>
    <row r="1106" spans="1:21" ht="13" hidden="1">
      <c r="A1106" s="31"/>
      <c r="B1106" s="75"/>
      <c r="C1106" s="308"/>
      <c r="D1106" s="75"/>
      <c r="E1106" s="309"/>
      <c r="F1106" s="310"/>
      <c r="G1106" s="75"/>
      <c r="H1106" s="75"/>
      <c r="I1106" s="75"/>
      <c r="J1106" s="311"/>
      <c r="K1106" s="311"/>
      <c r="L1106" s="311"/>
      <c r="M1106" s="311"/>
      <c r="N1106" s="311"/>
      <c r="O1106" s="311"/>
      <c r="P1106" s="311"/>
      <c r="Q1106" s="311"/>
      <c r="R1106" s="311"/>
      <c r="S1106" s="311"/>
      <c r="T1106" s="311"/>
      <c r="U1106" s="31"/>
    </row>
    <row r="1107" spans="1:21" ht="14" hidden="1">
      <c r="A1107" s="31"/>
      <c r="B1107" s="75" t="s">
        <v>9163</v>
      </c>
      <c r="C1107" s="308" t="s">
        <v>3088</v>
      </c>
      <c r="D1107" s="75" t="s">
        <v>87</v>
      </c>
      <c r="E1107" s="312" t="s">
        <v>9164</v>
      </c>
      <c r="F1107" s="310"/>
      <c r="G1107" s="75" t="s">
        <v>32</v>
      </c>
      <c r="H1107" s="75" t="s">
        <v>46</v>
      </c>
      <c r="I1107" s="75" t="s">
        <v>2959</v>
      </c>
      <c r="J1107" s="311"/>
      <c r="K1107" s="311"/>
      <c r="L1107" s="311"/>
      <c r="M1107" s="311"/>
      <c r="N1107" s="311"/>
      <c r="O1107" s="311"/>
      <c r="P1107" s="311"/>
      <c r="Q1107" s="311"/>
      <c r="R1107" s="311"/>
      <c r="S1107" s="311"/>
      <c r="T1107" s="311"/>
      <c r="U1107" s="31"/>
    </row>
    <row r="1108" spans="1:21" ht="14" hidden="1">
      <c r="A1108" s="31"/>
      <c r="B1108" s="75" t="s">
        <v>9165</v>
      </c>
      <c r="C1108" s="308" t="s">
        <v>9166</v>
      </c>
      <c r="D1108" s="75" t="s">
        <v>87</v>
      </c>
      <c r="E1108" s="312" t="s">
        <v>9167</v>
      </c>
      <c r="F1108" s="310"/>
      <c r="G1108" s="75" t="s">
        <v>326</v>
      </c>
      <c r="H1108" s="75" t="s">
        <v>399</v>
      </c>
      <c r="I1108" s="75" t="s">
        <v>2959</v>
      </c>
      <c r="J1108" s="311"/>
      <c r="K1108" s="311"/>
      <c r="L1108" s="311"/>
      <c r="M1108" s="311"/>
      <c r="N1108" s="311"/>
      <c r="O1108" s="311"/>
      <c r="P1108" s="311"/>
      <c r="Q1108" s="311"/>
      <c r="R1108" s="311"/>
      <c r="S1108" s="311"/>
      <c r="T1108" s="311"/>
      <c r="U1108" s="31"/>
    </row>
    <row r="1109" spans="1:21" ht="14" hidden="1">
      <c r="A1109" s="31"/>
      <c r="B1109" s="75" t="s">
        <v>9168</v>
      </c>
      <c r="C1109" s="308" t="s">
        <v>2943</v>
      </c>
      <c r="D1109" s="75" t="s">
        <v>87</v>
      </c>
      <c r="E1109" s="313"/>
      <c r="F1109" s="310"/>
      <c r="G1109" s="75" t="s">
        <v>326</v>
      </c>
      <c r="H1109" s="75" t="s">
        <v>46</v>
      </c>
      <c r="I1109" s="75" t="s">
        <v>2959</v>
      </c>
      <c r="J1109" s="311"/>
      <c r="K1109" s="311"/>
      <c r="L1109" s="311"/>
      <c r="M1109" s="311"/>
      <c r="N1109" s="311"/>
      <c r="O1109" s="311"/>
      <c r="P1109" s="311"/>
      <c r="Q1109" s="311"/>
      <c r="R1109" s="311"/>
      <c r="S1109" s="311"/>
      <c r="T1109" s="311"/>
      <c r="U1109" s="31"/>
    </row>
    <row r="1110" spans="1:21" ht="14" hidden="1">
      <c r="A1110" s="31"/>
      <c r="B1110" s="75" t="s">
        <v>1070</v>
      </c>
      <c r="C1110" s="308" t="s">
        <v>9169</v>
      </c>
      <c r="D1110" s="75" t="s">
        <v>87</v>
      </c>
      <c r="E1110" s="312" t="s">
        <v>9170</v>
      </c>
      <c r="F1110" s="310"/>
      <c r="G1110" s="75" t="s">
        <v>63</v>
      </c>
      <c r="H1110" s="75" t="s">
        <v>46</v>
      </c>
      <c r="I1110" s="75" t="s">
        <v>2959</v>
      </c>
      <c r="J1110" s="311"/>
      <c r="K1110" s="311"/>
      <c r="L1110" s="311"/>
      <c r="M1110" s="311"/>
      <c r="N1110" s="311"/>
      <c r="O1110" s="311"/>
      <c r="P1110" s="311"/>
      <c r="Q1110" s="311"/>
      <c r="R1110" s="311"/>
      <c r="S1110" s="311"/>
      <c r="T1110" s="311"/>
      <c r="U1110" s="31"/>
    </row>
    <row r="1111" spans="1:21" ht="14" hidden="1">
      <c r="A1111" s="31"/>
      <c r="B1111" s="75" t="s">
        <v>9171</v>
      </c>
      <c r="C1111" s="308" t="s">
        <v>2943</v>
      </c>
      <c r="D1111" s="75" t="s">
        <v>87</v>
      </c>
      <c r="E1111" s="312" t="s">
        <v>9172</v>
      </c>
      <c r="F1111" s="310"/>
      <c r="G1111" s="75" t="s">
        <v>326</v>
      </c>
      <c r="H1111" s="75" t="s">
        <v>46</v>
      </c>
      <c r="I1111" s="75" t="s">
        <v>2959</v>
      </c>
      <c r="J1111" s="311"/>
      <c r="K1111" s="311"/>
      <c r="L1111" s="311"/>
      <c r="M1111" s="311"/>
      <c r="N1111" s="311"/>
      <c r="O1111" s="311"/>
      <c r="P1111" s="311"/>
      <c r="Q1111" s="311"/>
      <c r="R1111" s="311"/>
      <c r="S1111" s="311"/>
      <c r="T1111" s="311"/>
      <c r="U1111" s="31"/>
    </row>
    <row r="1112" spans="1:21" ht="14" hidden="1">
      <c r="A1112" s="31"/>
      <c r="B1112" s="75" t="s">
        <v>9173</v>
      </c>
      <c r="C1112" s="308" t="s">
        <v>3088</v>
      </c>
      <c r="D1112" s="75" t="s">
        <v>87</v>
      </c>
      <c r="E1112" s="312" t="s">
        <v>9174</v>
      </c>
      <c r="F1112" s="310"/>
      <c r="G1112" s="75" t="s">
        <v>32</v>
      </c>
      <c r="H1112" s="75" t="s">
        <v>46</v>
      </c>
      <c r="I1112" s="75" t="s">
        <v>2959</v>
      </c>
      <c r="J1112" s="311"/>
      <c r="K1112" s="311"/>
      <c r="L1112" s="311"/>
      <c r="M1112" s="311"/>
      <c r="N1112" s="311"/>
      <c r="O1112" s="311"/>
      <c r="P1112" s="311"/>
      <c r="Q1112" s="311"/>
      <c r="R1112" s="311"/>
      <c r="S1112" s="311"/>
      <c r="T1112" s="311"/>
      <c r="U1112" s="31"/>
    </row>
    <row r="1113" spans="1:21" ht="14" hidden="1">
      <c r="A1113" s="31"/>
      <c r="B1113" s="75" t="s">
        <v>9175</v>
      </c>
      <c r="C1113" s="308" t="s">
        <v>9176</v>
      </c>
      <c r="D1113" s="75" t="s">
        <v>87</v>
      </c>
      <c r="E1113" s="312" t="s">
        <v>9177</v>
      </c>
      <c r="F1113" s="310"/>
      <c r="G1113" s="75" t="s">
        <v>326</v>
      </c>
      <c r="H1113" s="75" t="s">
        <v>399</v>
      </c>
      <c r="I1113" s="75" t="s">
        <v>2959</v>
      </c>
      <c r="J1113" s="311"/>
      <c r="K1113" s="311"/>
      <c r="L1113" s="311"/>
      <c r="M1113" s="311"/>
      <c r="N1113" s="311"/>
      <c r="O1113" s="311"/>
      <c r="P1113" s="311"/>
      <c r="Q1113" s="311"/>
      <c r="R1113" s="311"/>
      <c r="S1113" s="311"/>
      <c r="T1113" s="311"/>
      <c r="U1113" s="31"/>
    </row>
    <row r="1114" spans="1:21" ht="14" hidden="1">
      <c r="A1114" s="31"/>
      <c r="B1114" s="75" t="s">
        <v>9178</v>
      </c>
      <c r="C1114" s="308" t="s">
        <v>9179</v>
      </c>
      <c r="D1114" s="75" t="s">
        <v>87</v>
      </c>
      <c r="E1114" s="312" t="s">
        <v>9180</v>
      </c>
      <c r="F1114" s="310"/>
      <c r="G1114" s="75" t="s">
        <v>32</v>
      </c>
      <c r="H1114" s="75" t="s">
        <v>46</v>
      </c>
      <c r="I1114" s="75" t="s">
        <v>2959</v>
      </c>
      <c r="J1114" s="311"/>
      <c r="K1114" s="311"/>
      <c r="L1114" s="311"/>
      <c r="M1114" s="311"/>
      <c r="N1114" s="311"/>
      <c r="O1114" s="311"/>
      <c r="P1114" s="311"/>
      <c r="Q1114" s="311"/>
      <c r="R1114" s="311"/>
      <c r="S1114" s="311"/>
      <c r="T1114" s="311"/>
      <c r="U1114" s="31"/>
    </row>
    <row r="1115" spans="1:21" ht="14" hidden="1">
      <c r="A1115" s="31"/>
      <c r="B1115" s="75" t="s">
        <v>9181</v>
      </c>
      <c r="C1115" s="308" t="s">
        <v>9176</v>
      </c>
      <c r="D1115" s="75" t="s">
        <v>87</v>
      </c>
      <c r="E1115" s="312" t="s">
        <v>9182</v>
      </c>
      <c r="F1115" s="310"/>
      <c r="G1115" s="75" t="s">
        <v>326</v>
      </c>
      <c r="H1115" s="75" t="s">
        <v>399</v>
      </c>
      <c r="I1115" s="75" t="s">
        <v>2959</v>
      </c>
      <c r="J1115" s="311"/>
      <c r="K1115" s="311"/>
      <c r="L1115" s="311"/>
      <c r="M1115" s="311"/>
      <c r="N1115" s="311"/>
      <c r="O1115" s="311"/>
      <c r="P1115" s="311"/>
      <c r="Q1115" s="311"/>
      <c r="R1115" s="311"/>
      <c r="S1115" s="311"/>
      <c r="T1115" s="311"/>
      <c r="U1115" s="31"/>
    </row>
    <row r="1116" spans="1:21" ht="14" hidden="1">
      <c r="A1116" s="31"/>
      <c r="B1116" s="75" t="s">
        <v>9183</v>
      </c>
      <c r="C1116" s="308" t="s">
        <v>3088</v>
      </c>
      <c r="D1116" s="75" t="s">
        <v>87</v>
      </c>
      <c r="E1116" s="312" t="s">
        <v>9184</v>
      </c>
      <c r="F1116" s="310"/>
      <c r="G1116" s="75" t="s">
        <v>32</v>
      </c>
      <c r="H1116" s="75" t="s">
        <v>46</v>
      </c>
      <c r="I1116" s="75" t="s">
        <v>2959</v>
      </c>
      <c r="J1116" s="311"/>
      <c r="K1116" s="311"/>
      <c r="L1116" s="311"/>
      <c r="M1116" s="311"/>
      <c r="N1116" s="311"/>
      <c r="O1116" s="311"/>
      <c r="P1116" s="311"/>
      <c r="Q1116" s="311"/>
      <c r="R1116" s="311"/>
      <c r="S1116" s="311"/>
      <c r="T1116" s="311"/>
      <c r="U1116" s="31"/>
    </row>
    <row r="1117" spans="1:21" ht="14" hidden="1">
      <c r="A1117" s="31"/>
      <c r="B1117" s="75" t="s">
        <v>9185</v>
      </c>
      <c r="C1117" s="308" t="s">
        <v>9186</v>
      </c>
      <c r="D1117" s="75" t="s">
        <v>87</v>
      </c>
      <c r="E1117" s="314" t="s">
        <v>9187</v>
      </c>
      <c r="F1117" s="310"/>
      <c r="G1117" s="75" t="s">
        <v>214</v>
      </c>
      <c r="H1117" s="75" t="s">
        <v>126</v>
      </c>
      <c r="I1117" s="75" t="s">
        <v>2959</v>
      </c>
      <c r="J1117" s="311"/>
      <c r="K1117" s="311"/>
      <c r="L1117" s="311"/>
      <c r="M1117" s="311"/>
      <c r="N1117" s="311"/>
      <c r="O1117" s="311"/>
      <c r="P1117" s="311"/>
      <c r="Q1117" s="311"/>
      <c r="R1117" s="311"/>
      <c r="S1117" s="311"/>
      <c r="T1117" s="311"/>
      <c r="U1117" s="31"/>
    </row>
    <row r="1118" spans="1:21" ht="14" hidden="1">
      <c r="A1118" s="31"/>
      <c r="B1118" s="75" t="s">
        <v>9188</v>
      </c>
      <c r="C1118" s="308" t="s">
        <v>9176</v>
      </c>
      <c r="D1118" s="75" t="s">
        <v>87</v>
      </c>
      <c r="E1118" s="312" t="s">
        <v>9189</v>
      </c>
      <c r="F1118" s="310"/>
      <c r="G1118" s="75" t="s">
        <v>326</v>
      </c>
      <c r="H1118" s="75" t="s">
        <v>46</v>
      </c>
      <c r="I1118" s="75" t="s">
        <v>2959</v>
      </c>
      <c r="J1118" s="311"/>
      <c r="K1118" s="311"/>
      <c r="L1118" s="311"/>
      <c r="M1118" s="311"/>
      <c r="N1118" s="311"/>
      <c r="O1118" s="311"/>
      <c r="P1118" s="311"/>
      <c r="Q1118" s="311"/>
      <c r="R1118" s="311"/>
      <c r="S1118" s="311"/>
      <c r="T1118" s="311"/>
      <c r="U1118" s="31"/>
    </row>
    <row r="1119" spans="1:21" ht="14" hidden="1">
      <c r="A1119" s="31"/>
      <c r="B1119" s="75" t="s">
        <v>1094</v>
      </c>
      <c r="C1119" s="308" t="s">
        <v>5574</v>
      </c>
      <c r="D1119" s="75" t="s">
        <v>87</v>
      </c>
      <c r="E1119" s="315" t="s">
        <v>9190</v>
      </c>
      <c r="F1119" s="310"/>
      <c r="G1119" s="75" t="s">
        <v>214</v>
      </c>
      <c r="H1119" s="75" t="s">
        <v>126</v>
      </c>
      <c r="I1119" s="75" t="s">
        <v>2959</v>
      </c>
      <c r="J1119" s="311"/>
      <c r="K1119" s="311"/>
      <c r="L1119" s="311"/>
      <c r="M1119" s="311"/>
      <c r="N1119" s="311"/>
      <c r="O1119" s="311"/>
      <c r="P1119" s="311"/>
      <c r="Q1119" s="311"/>
      <c r="R1119" s="311"/>
      <c r="S1119" s="311"/>
      <c r="T1119" s="311"/>
      <c r="U1119" s="31"/>
    </row>
    <row r="1120" spans="1:21" ht="14" hidden="1">
      <c r="A1120" s="31"/>
      <c r="B1120" s="75" t="s">
        <v>9191</v>
      </c>
      <c r="C1120" s="308" t="s">
        <v>3088</v>
      </c>
      <c r="D1120" s="75" t="s">
        <v>87</v>
      </c>
      <c r="E1120" s="312" t="s">
        <v>9192</v>
      </c>
      <c r="F1120" s="310"/>
      <c r="G1120" s="75" t="s">
        <v>32</v>
      </c>
      <c r="H1120" s="75" t="s">
        <v>46</v>
      </c>
      <c r="I1120" s="75" t="s">
        <v>2959</v>
      </c>
      <c r="J1120" s="311"/>
      <c r="K1120" s="311"/>
      <c r="L1120" s="311"/>
      <c r="M1120" s="311"/>
      <c r="N1120" s="311"/>
      <c r="O1120" s="311"/>
      <c r="P1120" s="311"/>
      <c r="Q1120" s="311"/>
      <c r="R1120" s="311"/>
      <c r="S1120" s="311"/>
      <c r="T1120" s="311"/>
      <c r="U1120" s="31"/>
    </row>
    <row r="1121" spans="1:21" ht="14" hidden="1">
      <c r="A1121" s="31"/>
      <c r="B1121" s="75" t="s">
        <v>3677</v>
      </c>
      <c r="C1121" s="308" t="s">
        <v>162</v>
      </c>
      <c r="D1121" s="75" t="s">
        <v>87</v>
      </c>
      <c r="E1121" s="312" t="s">
        <v>9193</v>
      </c>
      <c r="F1121" s="310"/>
      <c r="G1121" s="75" t="s">
        <v>161</v>
      </c>
      <c r="H1121" s="75" t="s">
        <v>46</v>
      </c>
      <c r="I1121" s="75" t="s">
        <v>2959</v>
      </c>
      <c r="J1121" s="311"/>
      <c r="K1121" s="311"/>
      <c r="L1121" s="311"/>
      <c r="M1121" s="311"/>
      <c r="N1121" s="311"/>
      <c r="O1121" s="311"/>
      <c r="P1121" s="311"/>
      <c r="Q1121" s="311"/>
      <c r="R1121" s="311"/>
      <c r="S1121" s="311"/>
      <c r="T1121" s="311"/>
      <c r="U1121" s="31"/>
    </row>
    <row r="1122" spans="1:21" ht="14" hidden="1">
      <c r="A1122" s="31"/>
      <c r="B1122" s="75" t="s">
        <v>9194</v>
      </c>
      <c r="C1122" s="308" t="s">
        <v>9195</v>
      </c>
      <c r="D1122" s="75" t="s">
        <v>87</v>
      </c>
      <c r="E1122" s="312" t="s">
        <v>9196</v>
      </c>
      <c r="F1122" s="310"/>
      <c r="G1122" s="75" t="s">
        <v>409</v>
      </c>
      <c r="H1122" s="75" t="s">
        <v>46</v>
      </c>
      <c r="I1122" s="75" t="s">
        <v>2959</v>
      </c>
      <c r="J1122" s="311"/>
      <c r="K1122" s="311"/>
      <c r="L1122" s="311"/>
      <c r="M1122" s="311"/>
      <c r="N1122" s="311"/>
      <c r="O1122" s="311"/>
      <c r="P1122" s="311"/>
      <c r="Q1122" s="311"/>
      <c r="R1122" s="311"/>
      <c r="S1122" s="311"/>
      <c r="T1122" s="311"/>
      <c r="U1122" s="31"/>
    </row>
    <row r="1123" spans="1:21" ht="14" hidden="1">
      <c r="A1123" s="31"/>
      <c r="B1123" s="75" t="s">
        <v>9197</v>
      </c>
      <c r="C1123" s="308" t="s">
        <v>5574</v>
      </c>
      <c r="D1123" s="75" t="s">
        <v>87</v>
      </c>
      <c r="E1123" s="312" t="s">
        <v>9198</v>
      </c>
      <c r="F1123" s="310"/>
      <c r="G1123" s="75" t="s">
        <v>214</v>
      </c>
      <c r="H1123" s="75" t="s">
        <v>46</v>
      </c>
      <c r="I1123" s="75" t="s">
        <v>2959</v>
      </c>
      <c r="J1123" s="311"/>
      <c r="K1123" s="311"/>
      <c r="L1123" s="311"/>
      <c r="M1123" s="311"/>
      <c r="N1123" s="311"/>
      <c r="O1123" s="311"/>
      <c r="P1123" s="311"/>
      <c r="Q1123" s="311"/>
      <c r="R1123" s="311"/>
      <c r="S1123" s="311"/>
      <c r="T1123" s="311"/>
      <c r="U1123" s="31"/>
    </row>
    <row r="1124" spans="1:21" ht="14" hidden="1">
      <c r="A1124" s="31"/>
      <c r="B1124" s="75" t="s">
        <v>9199</v>
      </c>
      <c r="C1124" s="308" t="s">
        <v>9200</v>
      </c>
      <c r="D1124" s="75" t="s">
        <v>87</v>
      </c>
      <c r="E1124" s="313"/>
      <c r="F1124" s="310"/>
      <c r="G1124" s="75" t="s">
        <v>409</v>
      </c>
      <c r="H1124" s="75" t="s">
        <v>46</v>
      </c>
      <c r="I1124" s="75" t="s">
        <v>2959</v>
      </c>
      <c r="J1124" s="311"/>
      <c r="K1124" s="311"/>
      <c r="L1124" s="311"/>
      <c r="M1124" s="311"/>
      <c r="N1124" s="311"/>
      <c r="O1124" s="311"/>
      <c r="P1124" s="311"/>
      <c r="Q1124" s="311"/>
      <c r="R1124" s="311"/>
      <c r="S1124" s="311"/>
      <c r="T1124" s="311"/>
      <c r="U1124" s="31"/>
    </row>
    <row r="1125" spans="1:21" ht="14" hidden="1">
      <c r="A1125" s="31"/>
      <c r="B1125" s="75" t="s">
        <v>9201</v>
      </c>
      <c r="C1125" s="308" t="s">
        <v>927</v>
      </c>
      <c r="D1125" s="75" t="s">
        <v>87</v>
      </c>
      <c r="E1125" s="312" t="s">
        <v>9202</v>
      </c>
      <c r="F1125" s="310"/>
      <c r="G1125" s="75" t="s">
        <v>326</v>
      </c>
      <c r="H1125" s="75" t="s">
        <v>46</v>
      </c>
      <c r="I1125" s="75" t="s">
        <v>2959</v>
      </c>
      <c r="J1125" s="311"/>
      <c r="K1125" s="311"/>
      <c r="L1125" s="311"/>
      <c r="M1125" s="311"/>
      <c r="N1125" s="311"/>
      <c r="O1125" s="311"/>
      <c r="P1125" s="311"/>
      <c r="Q1125" s="311"/>
      <c r="R1125" s="311"/>
      <c r="S1125" s="311"/>
      <c r="T1125" s="311"/>
      <c r="U1125" s="31"/>
    </row>
    <row r="1126" spans="1:21" ht="14" hidden="1">
      <c r="A1126" s="31"/>
      <c r="B1126" s="75" t="s">
        <v>9203</v>
      </c>
      <c r="C1126" s="308" t="s">
        <v>9204</v>
      </c>
      <c r="D1126" s="75" t="s">
        <v>87</v>
      </c>
      <c r="E1126" s="312" t="s">
        <v>9205</v>
      </c>
      <c r="F1126" s="310"/>
      <c r="G1126" s="75" t="s">
        <v>32</v>
      </c>
      <c r="H1126" s="75" t="s">
        <v>46</v>
      </c>
      <c r="I1126" s="75" t="s">
        <v>2959</v>
      </c>
      <c r="J1126" s="311"/>
      <c r="K1126" s="311"/>
      <c r="L1126" s="311"/>
      <c r="M1126" s="311"/>
      <c r="N1126" s="311"/>
      <c r="O1126" s="311"/>
      <c r="P1126" s="311"/>
      <c r="Q1126" s="311"/>
      <c r="R1126" s="311"/>
      <c r="S1126" s="311"/>
      <c r="T1126" s="311"/>
      <c r="U1126" s="31"/>
    </row>
    <row r="1127" spans="1:21" ht="14" hidden="1">
      <c r="A1127" s="31"/>
      <c r="B1127" s="75" t="s">
        <v>9206</v>
      </c>
      <c r="C1127" s="308" t="s">
        <v>3969</v>
      </c>
      <c r="D1127" s="75" t="s">
        <v>87</v>
      </c>
      <c r="E1127" s="312" t="s">
        <v>3970</v>
      </c>
      <c r="F1127" s="310"/>
      <c r="G1127" s="75" t="s">
        <v>32</v>
      </c>
      <c r="H1127" s="75" t="s">
        <v>46</v>
      </c>
      <c r="I1127" s="75" t="s">
        <v>2959</v>
      </c>
      <c r="J1127" s="311"/>
      <c r="K1127" s="311"/>
      <c r="L1127" s="311"/>
      <c r="M1127" s="311"/>
      <c r="N1127" s="311"/>
      <c r="O1127" s="311"/>
      <c r="P1127" s="311"/>
      <c r="Q1127" s="311"/>
      <c r="R1127" s="311"/>
      <c r="S1127" s="311"/>
      <c r="T1127" s="311"/>
      <c r="U1127" s="31"/>
    </row>
    <row r="1128" spans="1:21" ht="13">
      <c r="A1128" s="31"/>
      <c r="B1128" s="328" t="s">
        <v>7703</v>
      </c>
      <c r="C1128" s="328" t="s">
        <v>7732</v>
      </c>
      <c r="D1128" s="328" t="s">
        <v>1153</v>
      </c>
      <c r="E1128" s="38" t="s">
        <v>7733</v>
      </c>
      <c r="F1128" s="327"/>
      <c r="G1128" s="328" t="s">
        <v>161</v>
      </c>
      <c r="H1128" s="328" t="s">
        <v>33</v>
      </c>
      <c r="I1128" s="328" t="s">
        <v>7737</v>
      </c>
      <c r="J1128" s="328" t="s">
        <v>48</v>
      </c>
      <c r="K1128" s="328" t="s">
        <v>7738</v>
      </c>
      <c r="L1128" s="327"/>
      <c r="M1128" s="328" t="s">
        <v>83</v>
      </c>
      <c r="N1128" s="327"/>
      <c r="O1128" s="311"/>
      <c r="P1128" s="311"/>
      <c r="Q1128" s="311"/>
      <c r="R1128" s="311"/>
      <c r="S1128" s="311"/>
      <c r="T1128" s="311"/>
      <c r="U1128" s="31"/>
    </row>
    <row r="1129" spans="1:21" ht="28" hidden="1">
      <c r="A1129" s="31"/>
      <c r="B1129" s="75" t="s">
        <v>948</v>
      </c>
      <c r="C1129" s="308" t="s">
        <v>9210</v>
      </c>
      <c r="D1129" s="75" t="s">
        <v>87</v>
      </c>
      <c r="E1129" s="312" t="s">
        <v>950</v>
      </c>
      <c r="F1129" s="310"/>
      <c r="G1129" s="75" t="s">
        <v>32</v>
      </c>
      <c r="H1129" s="75" t="s">
        <v>46</v>
      </c>
      <c r="I1129" s="75" t="s">
        <v>2959</v>
      </c>
      <c r="J1129" s="311"/>
      <c r="K1129" s="311"/>
      <c r="L1129" s="311"/>
      <c r="M1129" s="311"/>
      <c r="N1129" s="311"/>
      <c r="O1129" s="311"/>
      <c r="P1129" s="311"/>
      <c r="Q1129" s="311"/>
      <c r="R1129" s="311"/>
      <c r="S1129" s="311"/>
      <c r="T1129" s="311"/>
      <c r="U1129" s="31"/>
    </row>
    <row r="1130" spans="1:21" ht="13">
      <c r="A1130" s="31"/>
      <c r="B1130" s="328" t="s">
        <v>4663</v>
      </c>
      <c r="C1130" s="328" t="s">
        <v>4664</v>
      </c>
      <c r="D1130" s="328" t="s">
        <v>4665</v>
      </c>
      <c r="E1130" s="328" t="s">
        <v>4663</v>
      </c>
      <c r="F1130" s="328" t="s">
        <v>4666</v>
      </c>
      <c r="G1130" s="328" t="s">
        <v>4667</v>
      </c>
      <c r="H1130" s="328" t="s">
        <v>33</v>
      </c>
      <c r="I1130" s="328" t="s">
        <v>4669</v>
      </c>
      <c r="J1130" s="328" t="s">
        <v>48</v>
      </c>
      <c r="K1130" s="328" t="s">
        <v>4670</v>
      </c>
      <c r="L1130" s="327"/>
      <c r="M1130" s="328" t="s">
        <v>67</v>
      </c>
      <c r="N1130" s="327"/>
      <c r="O1130" s="311"/>
      <c r="P1130" s="311"/>
      <c r="Q1130" s="311"/>
      <c r="R1130" s="311"/>
      <c r="S1130" s="311"/>
      <c r="T1130" s="311"/>
      <c r="U1130" s="31"/>
    </row>
    <row r="1131" spans="1:21" ht="13">
      <c r="A1131" s="31"/>
      <c r="B1131" s="328" t="s">
        <v>4708</v>
      </c>
      <c r="C1131" s="328" t="s">
        <v>4709</v>
      </c>
      <c r="D1131" s="328" t="s">
        <v>4710</v>
      </c>
      <c r="E1131" s="38" t="s">
        <v>4711</v>
      </c>
      <c r="F1131" s="328" t="s">
        <v>4713</v>
      </c>
      <c r="G1131" s="328" t="s">
        <v>4714</v>
      </c>
      <c r="H1131" s="328" t="s">
        <v>33</v>
      </c>
      <c r="I1131" s="328" t="s">
        <v>4715</v>
      </c>
      <c r="J1131" s="328" t="s">
        <v>48</v>
      </c>
      <c r="K1131" s="327"/>
      <c r="L1131" s="327"/>
      <c r="M1131" s="328" t="s">
        <v>83</v>
      </c>
      <c r="N1131" s="327"/>
      <c r="O1131" s="311"/>
      <c r="P1131" s="311"/>
      <c r="Q1131" s="311"/>
      <c r="R1131" s="311"/>
      <c r="S1131" s="311"/>
      <c r="T1131" s="311"/>
      <c r="U1131" s="31"/>
    </row>
    <row r="1132" spans="1:21" ht="14" hidden="1">
      <c r="A1132" s="31"/>
      <c r="B1132" s="75" t="s">
        <v>9215</v>
      </c>
      <c r="C1132" s="308" t="s">
        <v>9216</v>
      </c>
      <c r="D1132" s="75" t="s">
        <v>87</v>
      </c>
      <c r="E1132" s="312" t="s">
        <v>9217</v>
      </c>
      <c r="F1132" s="310"/>
      <c r="G1132" s="75" t="s">
        <v>32</v>
      </c>
      <c r="H1132" s="75" t="s">
        <v>46</v>
      </c>
      <c r="I1132" s="75" t="s">
        <v>2959</v>
      </c>
      <c r="J1132" s="311"/>
      <c r="K1132" s="311"/>
      <c r="L1132" s="311"/>
      <c r="M1132" s="311"/>
      <c r="N1132" s="311"/>
      <c r="O1132" s="311"/>
      <c r="P1132" s="311"/>
      <c r="Q1132" s="311"/>
      <c r="R1132" s="311"/>
      <c r="S1132" s="311"/>
      <c r="T1132" s="311"/>
      <c r="U1132" s="31"/>
    </row>
    <row r="1133" spans="1:21" ht="14" hidden="1">
      <c r="A1133" s="31"/>
      <c r="B1133" s="75" t="s">
        <v>9218</v>
      </c>
      <c r="C1133" s="308" t="s">
        <v>3469</v>
      </c>
      <c r="D1133" s="75" t="s">
        <v>87</v>
      </c>
      <c r="E1133" s="312" t="s">
        <v>9219</v>
      </c>
      <c r="F1133" s="310"/>
      <c r="G1133" s="75" t="s">
        <v>32</v>
      </c>
      <c r="H1133" s="75" t="s">
        <v>126</v>
      </c>
      <c r="I1133" s="75" t="s">
        <v>2959</v>
      </c>
      <c r="J1133" s="311"/>
      <c r="K1133" s="311"/>
      <c r="L1133" s="311"/>
      <c r="M1133" s="311"/>
      <c r="N1133" s="311"/>
      <c r="O1133" s="311"/>
      <c r="P1133" s="311"/>
      <c r="Q1133" s="311"/>
      <c r="R1133" s="311"/>
      <c r="S1133" s="311"/>
      <c r="T1133" s="311"/>
      <c r="U1133" s="31"/>
    </row>
    <row r="1134" spans="1:21" ht="28" hidden="1">
      <c r="A1134" s="31"/>
      <c r="B1134" s="75" t="s">
        <v>9220</v>
      </c>
      <c r="C1134" s="308" t="s">
        <v>9221</v>
      </c>
      <c r="D1134" s="75" t="s">
        <v>87</v>
      </c>
      <c r="E1134" s="312" t="s">
        <v>9222</v>
      </c>
      <c r="F1134" s="310"/>
      <c r="G1134" s="75" t="s">
        <v>214</v>
      </c>
      <c r="H1134" s="75" t="s">
        <v>46</v>
      </c>
      <c r="I1134" s="75" t="s">
        <v>2959</v>
      </c>
      <c r="J1134" s="311"/>
      <c r="K1134" s="311"/>
      <c r="L1134" s="311"/>
      <c r="M1134" s="311"/>
      <c r="N1134" s="311"/>
      <c r="O1134" s="311"/>
      <c r="P1134" s="311"/>
      <c r="Q1134" s="311"/>
      <c r="R1134" s="311"/>
      <c r="S1134" s="311"/>
      <c r="T1134" s="311"/>
      <c r="U1134" s="31"/>
    </row>
    <row r="1135" spans="1:21" ht="14" hidden="1">
      <c r="A1135" s="31"/>
      <c r="B1135" s="75" t="s">
        <v>9223</v>
      </c>
      <c r="C1135" s="308" t="s">
        <v>9224</v>
      </c>
      <c r="D1135" s="75" t="s">
        <v>87</v>
      </c>
      <c r="E1135" s="312" t="s">
        <v>9225</v>
      </c>
      <c r="F1135" s="310"/>
      <c r="G1135" s="75" t="s">
        <v>409</v>
      </c>
      <c r="H1135" s="75" t="s">
        <v>46</v>
      </c>
      <c r="I1135" s="75" t="s">
        <v>2959</v>
      </c>
      <c r="J1135" s="311"/>
      <c r="K1135" s="311"/>
      <c r="L1135" s="311"/>
      <c r="M1135" s="311"/>
      <c r="N1135" s="311"/>
      <c r="O1135" s="311"/>
      <c r="P1135" s="311"/>
      <c r="Q1135" s="311"/>
      <c r="R1135" s="311"/>
      <c r="S1135" s="311"/>
      <c r="T1135" s="311"/>
      <c r="U1135" s="31"/>
    </row>
    <row r="1136" spans="1:21" ht="28" hidden="1">
      <c r="A1136" s="31"/>
      <c r="B1136" s="75" t="s">
        <v>9226</v>
      </c>
      <c r="C1136" s="308" t="s">
        <v>9227</v>
      </c>
      <c r="D1136" s="75" t="s">
        <v>87</v>
      </c>
      <c r="E1136" s="312" t="s">
        <v>9228</v>
      </c>
      <c r="F1136" s="310"/>
      <c r="G1136" s="75" t="s">
        <v>409</v>
      </c>
      <c r="H1136" s="75" t="s">
        <v>46</v>
      </c>
      <c r="I1136" s="75" t="s">
        <v>2959</v>
      </c>
      <c r="J1136" s="311"/>
      <c r="K1136" s="311"/>
      <c r="L1136" s="311"/>
      <c r="M1136" s="311"/>
      <c r="N1136" s="311"/>
      <c r="O1136" s="311"/>
      <c r="P1136" s="311"/>
      <c r="Q1136" s="311"/>
      <c r="R1136" s="311"/>
      <c r="S1136" s="311"/>
      <c r="T1136" s="311"/>
      <c r="U1136" s="31"/>
    </row>
    <row r="1137" spans="1:21" ht="14" hidden="1">
      <c r="A1137" s="31"/>
      <c r="B1137" s="75" t="s">
        <v>9229</v>
      </c>
      <c r="C1137" s="308" t="s">
        <v>9179</v>
      </c>
      <c r="D1137" s="75" t="s">
        <v>87</v>
      </c>
      <c r="E1137" s="312" t="s">
        <v>9230</v>
      </c>
      <c r="F1137" s="310"/>
      <c r="G1137" s="75" t="s">
        <v>32</v>
      </c>
      <c r="H1137" s="75" t="s">
        <v>46</v>
      </c>
      <c r="I1137" s="75" t="s">
        <v>2959</v>
      </c>
      <c r="J1137" s="311"/>
      <c r="K1137" s="311"/>
      <c r="L1137" s="311"/>
      <c r="M1137" s="311"/>
      <c r="N1137" s="311"/>
      <c r="O1137" s="311"/>
      <c r="P1137" s="311"/>
      <c r="Q1137" s="311"/>
      <c r="R1137" s="311"/>
      <c r="S1137" s="311"/>
      <c r="T1137" s="311"/>
      <c r="U1137" s="31"/>
    </row>
    <row r="1138" spans="1:21" ht="28" hidden="1">
      <c r="A1138" s="31"/>
      <c r="B1138" s="75" t="s">
        <v>9231</v>
      </c>
      <c r="C1138" s="308" t="s">
        <v>9232</v>
      </c>
      <c r="D1138" s="75" t="s">
        <v>87</v>
      </c>
      <c r="E1138" s="312" t="s">
        <v>9233</v>
      </c>
      <c r="F1138" s="310"/>
      <c r="G1138" s="75" t="s">
        <v>409</v>
      </c>
      <c r="H1138" s="75" t="s">
        <v>399</v>
      </c>
      <c r="I1138" s="75" t="s">
        <v>2959</v>
      </c>
      <c r="J1138" s="311"/>
      <c r="K1138" s="311"/>
      <c r="L1138" s="311"/>
      <c r="M1138" s="311"/>
      <c r="N1138" s="311"/>
      <c r="O1138" s="311"/>
      <c r="P1138" s="311"/>
      <c r="Q1138" s="311"/>
      <c r="R1138" s="311"/>
      <c r="S1138" s="311"/>
      <c r="T1138" s="311"/>
      <c r="U1138" s="31"/>
    </row>
    <row r="1139" spans="1:21" ht="14" hidden="1">
      <c r="A1139" s="31"/>
      <c r="B1139" s="75" t="s">
        <v>9234</v>
      </c>
      <c r="C1139" s="308" t="s">
        <v>234</v>
      </c>
      <c r="D1139" s="75" t="s">
        <v>87</v>
      </c>
      <c r="E1139" s="312" t="s">
        <v>9235</v>
      </c>
      <c r="F1139" s="310"/>
      <c r="G1139" s="75" t="s">
        <v>161</v>
      </c>
      <c r="H1139" s="75" t="s">
        <v>126</v>
      </c>
      <c r="I1139" s="75" t="s">
        <v>2959</v>
      </c>
      <c r="J1139" s="311"/>
      <c r="K1139" s="311"/>
      <c r="L1139" s="311"/>
      <c r="M1139" s="311"/>
      <c r="N1139" s="311"/>
      <c r="O1139" s="311"/>
      <c r="P1139" s="311"/>
      <c r="Q1139" s="311"/>
      <c r="R1139" s="311"/>
      <c r="S1139" s="311"/>
      <c r="T1139" s="311"/>
      <c r="U1139" s="31"/>
    </row>
    <row r="1140" spans="1:21" ht="13">
      <c r="A1140" s="31"/>
      <c r="B1140" s="328" t="s">
        <v>1667</v>
      </c>
      <c r="C1140" s="328" t="s">
        <v>1668</v>
      </c>
      <c r="D1140" s="328" t="s">
        <v>1669</v>
      </c>
      <c r="E1140" s="38" t="s">
        <v>1670</v>
      </c>
      <c r="F1140" s="328" t="s">
        <v>1672</v>
      </c>
      <c r="G1140" s="328" t="s">
        <v>1673</v>
      </c>
      <c r="H1140" s="328" t="s">
        <v>33</v>
      </c>
      <c r="I1140" s="328" t="s">
        <v>1674</v>
      </c>
      <c r="J1140" s="328" t="s">
        <v>48</v>
      </c>
      <c r="K1140" s="328" t="s">
        <v>1675</v>
      </c>
      <c r="L1140" s="328" t="s">
        <v>1676</v>
      </c>
      <c r="M1140" s="328" t="s">
        <v>83</v>
      </c>
      <c r="N1140" s="328" t="s">
        <v>1677</v>
      </c>
      <c r="O1140" s="311"/>
      <c r="P1140" s="311"/>
      <c r="Q1140" s="311"/>
      <c r="R1140" s="311"/>
      <c r="S1140" s="311"/>
      <c r="T1140" s="311"/>
      <c r="U1140" s="31"/>
    </row>
    <row r="1141" spans="1:21" ht="13">
      <c r="A1141" s="31"/>
      <c r="B1141" s="328" t="s">
        <v>2275</v>
      </c>
      <c r="C1141" s="328" t="s">
        <v>2276</v>
      </c>
      <c r="D1141" s="38" t="s">
        <v>2277</v>
      </c>
      <c r="E1141" s="38" t="s">
        <v>2278</v>
      </c>
      <c r="F1141" s="328" t="s">
        <v>2279</v>
      </c>
      <c r="G1141" s="328" t="s">
        <v>363</v>
      </c>
      <c r="H1141" s="328" t="s">
        <v>33</v>
      </c>
      <c r="I1141" s="328" t="s">
        <v>2280</v>
      </c>
      <c r="J1141" s="328" t="s">
        <v>48</v>
      </c>
      <c r="K1141" s="327"/>
      <c r="L1141" s="327"/>
      <c r="M1141" s="328" t="s">
        <v>83</v>
      </c>
      <c r="N1141" s="327"/>
      <c r="O1141" s="311"/>
      <c r="P1141" s="311"/>
      <c r="Q1141" s="311"/>
      <c r="R1141" s="311"/>
      <c r="S1141" s="311"/>
      <c r="T1141" s="311"/>
      <c r="U1141" s="31"/>
    </row>
    <row r="1142" spans="1:21" ht="14" hidden="1">
      <c r="A1142" s="31"/>
      <c r="B1142" s="75" t="s">
        <v>9240</v>
      </c>
      <c r="C1142" s="308" t="s">
        <v>5574</v>
      </c>
      <c r="D1142" s="75" t="s">
        <v>87</v>
      </c>
      <c r="E1142" s="312" t="s">
        <v>9241</v>
      </c>
      <c r="F1142" s="310"/>
      <c r="G1142" s="75" t="s">
        <v>214</v>
      </c>
      <c r="H1142" s="75" t="s">
        <v>46</v>
      </c>
      <c r="I1142" s="75" t="s">
        <v>2959</v>
      </c>
      <c r="J1142" s="311"/>
      <c r="K1142" s="311"/>
      <c r="L1142" s="311"/>
      <c r="M1142" s="311"/>
      <c r="N1142" s="311"/>
      <c r="O1142" s="311"/>
      <c r="P1142" s="311"/>
      <c r="Q1142" s="311"/>
      <c r="R1142" s="311"/>
      <c r="S1142" s="311"/>
      <c r="T1142" s="311"/>
      <c r="U1142" s="31"/>
    </row>
    <row r="1143" spans="1:21" ht="14" hidden="1">
      <c r="A1143" s="31"/>
      <c r="B1143" s="75" t="s">
        <v>9242</v>
      </c>
      <c r="C1143" s="308" t="s">
        <v>4556</v>
      </c>
      <c r="D1143" s="75" t="s">
        <v>87</v>
      </c>
      <c r="E1143" s="312" t="s">
        <v>9243</v>
      </c>
      <c r="F1143" s="310"/>
      <c r="G1143" s="75" t="s">
        <v>32</v>
      </c>
      <c r="H1143" s="75" t="s">
        <v>46</v>
      </c>
      <c r="I1143" s="75" t="s">
        <v>2959</v>
      </c>
      <c r="J1143" s="311"/>
      <c r="K1143" s="311"/>
      <c r="L1143" s="311"/>
      <c r="M1143" s="311"/>
      <c r="N1143" s="311"/>
      <c r="O1143" s="311"/>
      <c r="P1143" s="311"/>
      <c r="Q1143" s="311"/>
      <c r="R1143" s="311"/>
      <c r="S1143" s="311"/>
      <c r="T1143" s="311"/>
      <c r="U1143" s="31"/>
    </row>
    <row r="1144" spans="1:21" ht="14" hidden="1">
      <c r="A1144" s="31"/>
      <c r="B1144" s="75" t="s">
        <v>9244</v>
      </c>
      <c r="C1144" s="308" t="s">
        <v>3399</v>
      </c>
      <c r="D1144" s="75" t="s">
        <v>87</v>
      </c>
      <c r="E1144" s="312" t="s">
        <v>9245</v>
      </c>
      <c r="F1144" s="310"/>
      <c r="G1144" s="75" t="s">
        <v>409</v>
      </c>
      <c r="H1144" s="75" t="s">
        <v>399</v>
      </c>
      <c r="I1144" s="75" t="s">
        <v>2959</v>
      </c>
      <c r="J1144" s="311"/>
      <c r="K1144" s="311"/>
      <c r="L1144" s="311"/>
      <c r="M1144" s="311"/>
      <c r="N1144" s="311"/>
      <c r="O1144" s="311"/>
      <c r="P1144" s="311"/>
      <c r="Q1144" s="311"/>
      <c r="R1144" s="311"/>
      <c r="S1144" s="311"/>
      <c r="T1144" s="311"/>
      <c r="U1144" s="31"/>
    </row>
    <row r="1145" spans="1:21" ht="13">
      <c r="A1145" s="31"/>
      <c r="B1145" s="328" t="s">
        <v>2979</v>
      </c>
      <c r="C1145" s="328" t="s">
        <v>2980</v>
      </c>
      <c r="D1145" s="328" t="s">
        <v>1953</v>
      </c>
      <c r="E1145" s="38" t="s">
        <v>2981</v>
      </c>
      <c r="F1145" s="328" t="s">
        <v>2982</v>
      </c>
      <c r="G1145" s="328" t="s">
        <v>161</v>
      </c>
      <c r="H1145" s="328" t="s">
        <v>33</v>
      </c>
      <c r="I1145" s="328" t="s">
        <v>2984</v>
      </c>
      <c r="J1145" s="328" t="s">
        <v>48</v>
      </c>
      <c r="K1145" s="327"/>
      <c r="L1145" s="327"/>
      <c r="M1145" s="328" t="s">
        <v>67</v>
      </c>
      <c r="N1145" s="327"/>
      <c r="O1145" s="311"/>
      <c r="P1145" s="311"/>
      <c r="Q1145" s="311"/>
      <c r="R1145" s="311"/>
      <c r="S1145" s="311"/>
      <c r="T1145" s="311"/>
      <c r="U1145" s="31"/>
    </row>
    <row r="1146" spans="1:21" ht="14" hidden="1">
      <c r="A1146" s="31"/>
      <c r="B1146" s="75" t="s">
        <v>9249</v>
      </c>
      <c r="C1146" s="308" t="s">
        <v>9250</v>
      </c>
      <c r="D1146" s="75" t="s">
        <v>87</v>
      </c>
      <c r="E1146" s="312" t="s">
        <v>9251</v>
      </c>
      <c r="F1146" s="310"/>
      <c r="G1146" s="75" t="s">
        <v>357</v>
      </c>
      <c r="H1146" s="75" t="s">
        <v>399</v>
      </c>
      <c r="I1146" s="75" t="s">
        <v>2959</v>
      </c>
      <c r="J1146" s="311"/>
      <c r="K1146" s="311"/>
      <c r="L1146" s="311"/>
      <c r="M1146" s="311"/>
      <c r="N1146" s="311"/>
      <c r="O1146" s="311"/>
      <c r="P1146" s="311"/>
      <c r="Q1146" s="311"/>
      <c r="R1146" s="311"/>
      <c r="S1146" s="311"/>
      <c r="T1146" s="311"/>
      <c r="U1146" s="31"/>
    </row>
    <row r="1147" spans="1:21" ht="13">
      <c r="A1147" s="31"/>
      <c r="B1147" s="328" t="s">
        <v>2979</v>
      </c>
      <c r="C1147" s="328" t="s">
        <v>2980</v>
      </c>
      <c r="D1147" s="328" t="s">
        <v>1953</v>
      </c>
      <c r="E1147" s="38" t="s">
        <v>2981</v>
      </c>
      <c r="F1147" s="328" t="s">
        <v>2982</v>
      </c>
      <c r="G1147" s="328" t="s">
        <v>161</v>
      </c>
      <c r="H1147" s="328" t="s">
        <v>33</v>
      </c>
      <c r="I1147" s="328" t="s">
        <v>2984</v>
      </c>
      <c r="J1147" s="328" t="s">
        <v>48</v>
      </c>
      <c r="K1147" s="327"/>
      <c r="L1147" s="327"/>
      <c r="M1147" s="328" t="s">
        <v>67</v>
      </c>
      <c r="N1147" s="327"/>
      <c r="O1147" s="311"/>
      <c r="P1147" s="311"/>
      <c r="Q1147" s="311"/>
      <c r="R1147" s="311"/>
      <c r="S1147" s="311"/>
      <c r="T1147" s="311"/>
      <c r="U1147" s="31"/>
    </row>
    <row r="1148" spans="1:21" ht="13">
      <c r="A1148" s="31"/>
      <c r="B1148" s="328" t="s">
        <v>3873</v>
      </c>
      <c r="C1148" s="328" t="s">
        <v>3874</v>
      </c>
      <c r="D1148" s="328" t="s">
        <v>2768</v>
      </c>
      <c r="E1148" s="38" t="s">
        <v>3875</v>
      </c>
      <c r="F1148" s="328" t="s">
        <v>3876</v>
      </c>
      <c r="G1148" s="328" t="s">
        <v>322</v>
      </c>
      <c r="H1148" s="328" t="s">
        <v>33</v>
      </c>
      <c r="I1148" s="328" t="s">
        <v>3877</v>
      </c>
      <c r="J1148" s="328" t="s">
        <v>104</v>
      </c>
      <c r="K1148" s="328" t="s">
        <v>3877</v>
      </c>
      <c r="L1148" s="328" t="s">
        <v>3878</v>
      </c>
      <c r="M1148" s="328" t="s">
        <v>67</v>
      </c>
      <c r="N1148" s="327"/>
      <c r="O1148" s="311"/>
      <c r="P1148" s="311"/>
      <c r="Q1148" s="311"/>
      <c r="R1148" s="311"/>
      <c r="S1148" s="311"/>
      <c r="T1148" s="311"/>
      <c r="U1148" s="31"/>
    </row>
    <row r="1149" spans="1:21" ht="13">
      <c r="A1149" s="31"/>
      <c r="B1149" s="328" t="s">
        <v>7543</v>
      </c>
      <c r="C1149" s="328" t="s">
        <v>7544</v>
      </c>
      <c r="D1149" s="328" t="s">
        <v>7545</v>
      </c>
      <c r="E1149" s="38" t="s">
        <v>7546</v>
      </c>
      <c r="F1149" s="327"/>
      <c r="G1149" s="328" t="s">
        <v>7550</v>
      </c>
      <c r="H1149" s="328" t="s">
        <v>33</v>
      </c>
      <c r="I1149" s="328" t="s">
        <v>7551</v>
      </c>
      <c r="J1149" s="328" t="s">
        <v>48</v>
      </c>
      <c r="K1149" s="328" t="s">
        <v>7552</v>
      </c>
      <c r="L1149" s="328" t="s">
        <v>7553</v>
      </c>
      <c r="M1149" s="328" t="s">
        <v>83</v>
      </c>
      <c r="N1149" s="327"/>
      <c r="O1149" s="311"/>
      <c r="P1149" s="311"/>
      <c r="Q1149" s="311"/>
      <c r="R1149" s="311"/>
      <c r="S1149" s="311"/>
      <c r="T1149" s="311"/>
      <c r="U1149" s="31"/>
    </row>
    <row r="1150" spans="1:21" ht="14" hidden="1">
      <c r="A1150" s="31"/>
      <c r="B1150" s="75" t="s">
        <v>9260</v>
      </c>
      <c r="C1150" s="308" t="s">
        <v>9261</v>
      </c>
      <c r="D1150" s="75" t="s">
        <v>87</v>
      </c>
      <c r="E1150" s="312" t="s">
        <v>9262</v>
      </c>
      <c r="F1150" s="310"/>
      <c r="G1150" s="75" t="s">
        <v>409</v>
      </c>
      <c r="H1150" s="75" t="s">
        <v>399</v>
      </c>
      <c r="I1150" s="75" t="s">
        <v>2959</v>
      </c>
      <c r="J1150" s="311"/>
      <c r="K1150" s="311"/>
      <c r="L1150" s="311"/>
      <c r="M1150" s="311"/>
      <c r="N1150" s="311"/>
      <c r="O1150" s="311"/>
      <c r="P1150" s="311"/>
      <c r="Q1150" s="311"/>
      <c r="R1150" s="311"/>
      <c r="S1150" s="311"/>
      <c r="T1150" s="311"/>
      <c r="U1150" s="31"/>
    </row>
    <row r="1151" spans="1:21" ht="14" hidden="1">
      <c r="A1151" s="31"/>
      <c r="B1151" s="75" t="s">
        <v>9264</v>
      </c>
      <c r="C1151" s="308" t="s">
        <v>9195</v>
      </c>
      <c r="D1151" s="75" t="s">
        <v>87</v>
      </c>
      <c r="E1151" s="312" t="s">
        <v>9265</v>
      </c>
      <c r="F1151" s="310"/>
      <c r="G1151" s="75" t="s">
        <v>409</v>
      </c>
      <c r="H1151" s="75" t="s">
        <v>46</v>
      </c>
      <c r="I1151" s="75" t="s">
        <v>2959</v>
      </c>
      <c r="J1151" s="311"/>
      <c r="K1151" s="311"/>
      <c r="L1151" s="311"/>
      <c r="M1151" s="311"/>
      <c r="N1151" s="311"/>
      <c r="O1151" s="311"/>
      <c r="P1151" s="311"/>
      <c r="Q1151" s="311"/>
      <c r="R1151" s="311"/>
      <c r="S1151" s="311"/>
      <c r="T1151" s="311"/>
      <c r="U1151" s="31"/>
    </row>
    <row r="1152" spans="1:21" ht="14" hidden="1">
      <c r="A1152" s="31"/>
      <c r="B1152" s="75" t="s">
        <v>9266</v>
      </c>
      <c r="C1152" s="308" t="s">
        <v>9267</v>
      </c>
      <c r="D1152" s="75" t="s">
        <v>87</v>
      </c>
      <c r="E1152" s="312" t="s">
        <v>9268</v>
      </c>
      <c r="F1152" s="310"/>
      <c r="G1152" s="75" t="s">
        <v>409</v>
      </c>
      <c r="H1152" s="75" t="s">
        <v>46</v>
      </c>
      <c r="I1152" s="75" t="s">
        <v>2959</v>
      </c>
      <c r="J1152" s="311"/>
      <c r="K1152" s="311"/>
      <c r="L1152" s="311"/>
      <c r="M1152" s="311"/>
      <c r="N1152" s="311"/>
      <c r="O1152" s="311"/>
      <c r="P1152" s="311"/>
      <c r="Q1152" s="311"/>
      <c r="R1152" s="311"/>
      <c r="S1152" s="311"/>
      <c r="T1152" s="311"/>
      <c r="U1152" s="31"/>
    </row>
    <row r="1153" spans="1:21" ht="14" hidden="1">
      <c r="A1153" s="31"/>
      <c r="B1153" s="75" t="s">
        <v>9269</v>
      </c>
      <c r="C1153" s="308" t="s">
        <v>1888</v>
      </c>
      <c r="D1153" s="75" t="s">
        <v>87</v>
      </c>
      <c r="E1153" s="312" t="s">
        <v>9270</v>
      </c>
      <c r="F1153" s="310"/>
      <c r="G1153" s="75" t="s">
        <v>32</v>
      </c>
      <c r="H1153" s="75" t="s">
        <v>46</v>
      </c>
      <c r="I1153" s="75" t="s">
        <v>2959</v>
      </c>
      <c r="J1153" s="311"/>
      <c r="K1153" s="311"/>
      <c r="L1153" s="311"/>
      <c r="M1153" s="311"/>
      <c r="N1153" s="311"/>
      <c r="O1153" s="311"/>
      <c r="P1153" s="311"/>
      <c r="Q1153" s="311"/>
      <c r="R1153" s="311"/>
      <c r="S1153" s="311"/>
      <c r="T1153" s="311"/>
      <c r="U1153" s="31"/>
    </row>
    <row r="1154" spans="1:21" ht="14" hidden="1">
      <c r="A1154" s="31"/>
      <c r="B1154" s="75" t="s">
        <v>9271</v>
      </c>
      <c r="C1154" s="308" t="s">
        <v>9261</v>
      </c>
      <c r="D1154" s="75" t="s">
        <v>87</v>
      </c>
      <c r="E1154" s="312" t="s">
        <v>9272</v>
      </c>
      <c r="F1154" s="310"/>
      <c r="G1154" s="75" t="s">
        <v>409</v>
      </c>
      <c r="H1154" s="75" t="s">
        <v>399</v>
      </c>
      <c r="I1154" s="75" t="s">
        <v>2959</v>
      </c>
      <c r="J1154" s="311"/>
      <c r="K1154" s="311"/>
      <c r="L1154" s="311"/>
      <c r="M1154" s="311"/>
      <c r="N1154" s="311"/>
      <c r="O1154" s="311"/>
      <c r="P1154" s="311"/>
      <c r="Q1154" s="311"/>
      <c r="R1154" s="311"/>
      <c r="S1154" s="311"/>
      <c r="T1154" s="311"/>
      <c r="U1154" s="31"/>
    </row>
    <row r="1155" spans="1:21" ht="14" hidden="1">
      <c r="A1155" s="31"/>
      <c r="B1155" s="75" t="s">
        <v>9273</v>
      </c>
      <c r="C1155" s="308" t="s">
        <v>9274</v>
      </c>
      <c r="D1155" s="75" t="s">
        <v>87</v>
      </c>
      <c r="E1155" s="312" t="s">
        <v>9275</v>
      </c>
      <c r="F1155" s="310"/>
      <c r="G1155" s="75" t="s">
        <v>409</v>
      </c>
      <c r="H1155" s="75" t="s">
        <v>399</v>
      </c>
      <c r="I1155" s="75" t="s">
        <v>2959</v>
      </c>
      <c r="J1155" s="311"/>
      <c r="K1155" s="311"/>
      <c r="L1155" s="311"/>
      <c r="M1155" s="311"/>
      <c r="N1155" s="311"/>
      <c r="O1155" s="311"/>
      <c r="P1155" s="311"/>
      <c r="Q1155" s="311"/>
      <c r="R1155" s="311"/>
      <c r="S1155" s="311"/>
      <c r="T1155" s="311"/>
      <c r="U1155" s="31"/>
    </row>
    <row r="1156" spans="1:21" ht="13">
      <c r="A1156" s="31"/>
      <c r="B1156" s="328" t="s">
        <v>9078</v>
      </c>
      <c r="C1156" s="328" t="s">
        <v>9079</v>
      </c>
      <c r="D1156" s="328" t="s">
        <v>9080</v>
      </c>
      <c r="E1156" s="38" t="s">
        <v>9081</v>
      </c>
      <c r="F1156" s="327"/>
      <c r="G1156" s="328" t="s">
        <v>1017</v>
      </c>
      <c r="H1156" s="328" t="s">
        <v>33</v>
      </c>
      <c r="I1156" s="328" t="s">
        <v>9082</v>
      </c>
      <c r="J1156" s="328" t="s">
        <v>48</v>
      </c>
      <c r="K1156" s="328" t="s">
        <v>9083</v>
      </c>
      <c r="L1156" s="328" t="s">
        <v>9084</v>
      </c>
      <c r="M1156" s="328" t="s">
        <v>83</v>
      </c>
      <c r="N1156" s="327"/>
      <c r="O1156" s="311"/>
      <c r="P1156" s="311"/>
      <c r="Q1156" s="311"/>
      <c r="R1156" s="311"/>
      <c r="S1156" s="311"/>
      <c r="T1156" s="311"/>
      <c r="U1156" s="31"/>
    </row>
    <row r="1157" spans="1:21" ht="14" hidden="1">
      <c r="A1157" s="31"/>
      <c r="B1157" s="75" t="s">
        <v>9279</v>
      </c>
      <c r="C1157" s="308" t="s">
        <v>1103</v>
      </c>
      <c r="D1157" s="75" t="s">
        <v>87</v>
      </c>
      <c r="E1157" s="312" t="s">
        <v>9280</v>
      </c>
      <c r="F1157" s="310"/>
      <c r="G1157" s="75" t="s">
        <v>409</v>
      </c>
      <c r="H1157" s="75" t="s">
        <v>399</v>
      </c>
      <c r="I1157" s="75" t="s">
        <v>2959</v>
      </c>
      <c r="J1157" s="311"/>
      <c r="K1157" s="311"/>
      <c r="L1157" s="311"/>
      <c r="M1157" s="311"/>
      <c r="N1157" s="311"/>
      <c r="O1157" s="311"/>
      <c r="P1157" s="311"/>
      <c r="Q1157" s="311"/>
      <c r="R1157" s="311"/>
      <c r="S1157" s="311"/>
      <c r="T1157" s="311"/>
      <c r="U1157" s="31"/>
    </row>
    <row r="1158" spans="1:21" ht="13">
      <c r="A1158" s="31"/>
      <c r="B1158" s="328" t="s">
        <v>1845</v>
      </c>
      <c r="C1158" s="328" t="s">
        <v>354</v>
      </c>
      <c r="D1158" s="328" t="s">
        <v>1846</v>
      </c>
      <c r="E1158" s="38" t="s">
        <v>1847</v>
      </c>
      <c r="F1158" s="328" t="s">
        <v>1848</v>
      </c>
      <c r="G1158" s="328" t="s">
        <v>363</v>
      </c>
      <c r="H1158" s="328" t="s">
        <v>33</v>
      </c>
      <c r="I1158" s="328" t="s">
        <v>1849</v>
      </c>
      <c r="J1158" s="328" t="s">
        <v>48</v>
      </c>
      <c r="K1158" s="328" t="s">
        <v>1850</v>
      </c>
      <c r="L1158" s="327"/>
      <c r="M1158" s="328" t="s">
        <v>83</v>
      </c>
      <c r="N1158" s="328" t="s">
        <v>771</v>
      </c>
      <c r="O1158" s="311"/>
      <c r="P1158" s="311"/>
      <c r="Q1158" s="311"/>
      <c r="R1158" s="311"/>
      <c r="S1158" s="311"/>
      <c r="T1158" s="311"/>
      <c r="U1158" s="31"/>
    </row>
    <row r="1159" spans="1:21" ht="14" hidden="1">
      <c r="A1159" s="31"/>
      <c r="B1159" s="75" t="s">
        <v>9284</v>
      </c>
      <c r="C1159" s="308" t="s">
        <v>9285</v>
      </c>
      <c r="D1159" s="75" t="s">
        <v>87</v>
      </c>
      <c r="E1159" s="313"/>
      <c r="F1159" s="310"/>
      <c r="G1159" s="75" t="s">
        <v>296</v>
      </c>
      <c r="H1159" s="75" t="s">
        <v>387</v>
      </c>
      <c r="I1159" s="75" t="s">
        <v>2959</v>
      </c>
      <c r="J1159" s="311"/>
      <c r="K1159" s="311"/>
      <c r="L1159" s="311"/>
      <c r="M1159" s="311"/>
      <c r="N1159" s="311"/>
      <c r="O1159" s="311"/>
      <c r="P1159" s="311"/>
      <c r="Q1159" s="311"/>
      <c r="R1159" s="311"/>
      <c r="S1159" s="311"/>
      <c r="T1159" s="311"/>
      <c r="U1159" s="31"/>
    </row>
    <row r="1160" spans="1:21" ht="14" hidden="1">
      <c r="A1160" s="31"/>
      <c r="B1160" s="75" t="s">
        <v>9286</v>
      </c>
      <c r="C1160" s="308" t="s">
        <v>9287</v>
      </c>
      <c r="D1160" s="75" t="s">
        <v>87</v>
      </c>
      <c r="E1160" s="312" t="s">
        <v>9288</v>
      </c>
      <c r="F1160" s="310"/>
      <c r="G1160" s="75" t="s">
        <v>296</v>
      </c>
      <c r="H1160" s="75" t="s">
        <v>46</v>
      </c>
      <c r="I1160" s="75" t="s">
        <v>2959</v>
      </c>
      <c r="J1160" s="311"/>
      <c r="K1160" s="311"/>
      <c r="L1160" s="311"/>
      <c r="M1160" s="311"/>
      <c r="N1160" s="311"/>
      <c r="O1160" s="311"/>
      <c r="P1160" s="311"/>
      <c r="Q1160" s="311"/>
      <c r="R1160" s="311"/>
      <c r="S1160" s="311"/>
      <c r="T1160" s="311"/>
      <c r="U1160" s="31"/>
    </row>
    <row r="1161" spans="1:21" ht="28" hidden="1">
      <c r="A1161" s="31"/>
      <c r="B1161" s="75" t="s">
        <v>9289</v>
      </c>
      <c r="C1161" s="308" t="s">
        <v>9290</v>
      </c>
      <c r="D1161" s="75" t="s">
        <v>87</v>
      </c>
      <c r="E1161" s="312" t="s">
        <v>9291</v>
      </c>
      <c r="F1161" s="310"/>
      <c r="G1161" s="75" t="s">
        <v>296</v>
      </c>
      <c r="H1161" s="75" t="s">
        <v>399</v>
      </c>
      <c r="I1161" s="75" t="s">
        <v>2959</v>
      </c>
      <c r="J1161" s="311"/>
      <c r="K1161" s="311"/>
      <c r="L1161" s="311"/>
      <c r="M1161" s="311"/>
      <c r="N1161" s="311"/>
      <c r="O1161" s="311"/>
      <c r="P1161" s="311"/>
      <c r="Q1161" s="311"/>
      <c r="R1161" s="311"/>
      <c r="S1161" s="311"/>
      <c r="T1161" s="311"/>
      <c r="U1161" s="31"/>
    </row>
    <row r="1162" spans="1:21" ht="14" hidden="1">
      <c r="A1162" s="31"/>
      <c r="B1162" s="75" t="s">
        <v>9292</v>
      </c>
      <c r="C1162" s="308" t="s">
        <v>5294</v>
      </c>
      <c r="D1162" s="75" t="s">
        <v>87</v>
      </c>
      <c r="E1162" s="312" t="s">
        <v>9293</v>
      </c>
      <c r="F1162" s="310"/>
      <c r="G1162" s="75" t="s">
        <v>409</v>
      </c>
      <c r="H1162" s="75" t="s">
        <v>399</v>
      </c>
      <c r="I1162" s="75" t="s">
        <v>2959</v>
      </c>
      <c r="J1162" s="311"/>
      <c r="K1162" s="311"/>
      <c r="L1162" s="311"/>
      <c r="M1162" s="311"/>
      <c r="N1162" s="311"/>
      <c r="O1162" s="311"/>
      <c r="P1162" s="311"/>
      <c r="Q1162" s="311"/>
      <c r="R1162" s="311"/>
      <c r="S1162" s="311"/>
      <c r="T1162" s="311"/>
      <c r="U1162" s="31"/>
    </row>
    <row r="1163" spans="1:21" ht="14" hidden="1">
      <c r="A1163" s="31"/>
      <c r="B1163" s="75" t="s">
        <v>9294</v>
      </c>
      <c r="C1163" s="308" t="s">
        <v>9295</v>
      </c>
      <c r="D1163" s="75" t="s">
        <v>87</v>
      </c>
      <c r="E1163" s="312" t="s">
        <v>9296</v>
      </c>
      <c r="F1163" s="310"/>
      <c r="G1163" s="75" t="s">
        <v>709</v>
      </c>
      <c r="H1163" s="75" t="s">
        <v>46</v>
      </c>
      <c r="I1163" s="75" t="s">
        <v>2959</v>
      </c>
      <c r="J1163" s="311"/>
      <c r="K1163" s="311"/>
      <c r="L1163" s="311"/>
      <c r="M1163" s="311"/>
      <c r="N1163" s="311"/>
      <c r="O1163" s="311"/>
      <c r="P1163" s="311"/>
      <c r="Q1163" s="311"/>
      <c r="R1163" s="311"/>
      <c r="S1163" s="311"/>
      <c r="T1163" s="311"/>
      <c r="U1163" s="31"/>
    </row>
    <row r="1164" spans="1:21" ht="14" hidden="1">
      <c r="A1164" s="31"/>
      <c r="B1164" s="75" t="s">
        <v>9297</v>
      </c>
      <c r="C1164" s="308" t="s">
        <v>502</v>
      </c>
      <c r="D1164" s="75" t="s">
        <v>87</v>
      </c>
      <c r="E1164" s="313"/>
      <c r="F1164" s="310"/>
      <c r="G1164" s="75" t="s">
        <v>709</v>
      </c>
      <c r="H1164" s="75" t="s">
        <v>399</v>
      </c>
      <c r="I1164" s="75" t="s">
        <v>2959</v>
      </c>
      <c r="J1164" s="311"/>
      <c r="K1164" s="311"/>
      <c r="L1164" s="311"/>
      <c r="M1164" s="311"/>
      <c r="N1164" s="311"/>
      <c r="O1164" s="311"/>
      <c r="P1164" s="311"/>
      <c r="Q1164" s="311"/>
      <c r="R1164" s="311"/>
      <c r="S1164" s="311"/>
      <c r="T1164" s="311"/>
      <c r="U1164" s="31"/>
    </row>
    <row r="1165" spans="1:21" ht="14" hidden="1">
      <c r="A1165" s="31"/>
      <c r="B1165" s="75" t="s">
        <v>9298</v>
      </c>
      <c r="C1165" s="308" t="s">
        <v>9299</v>
      </c>
      <c r="D1165" s="75" t="s">
        <v>87</v>
      </c>
      <c r="E1165" s="312" t="s">
        <v>9300</v>
      </c>
      <c r="F1165" s="310"/>
      <c r="G1165" s="75" t="s">
        <v>32</v>
      </c>
      <c r="H1165" s="75" t="s">
        <v>46</v>
      </c>
      <c r="I1165" s="75" t="s">
        <v>2959</v>
      </c>
      <c r="J1165" s="311"/>
      <c r="K1165" s="311"/>
      <c r="L1165" s="311"/>
      <c r="M1165" s="311"/>
      <c r="N1165" s="311"/>
      <c r="O1165" s="311"/>
      <c r="P1165" s="311"/>
      <c r="Q1165" s="311"/>
      <c r="R1165" s="311"/>
      <c r="S1165" s="311"/>
      <c r="T1165" s="311"/>
      <c r="U1165" s="31"/>
    </row>
    <row r="1166" spans="1:21" ht="14" hidden="1">
      <c r="A1166" s="31"/>
      <c r="B1166" s="75" t="s">
        <v>9301</v>
      </c>
      <c r="C1166" s="308" t="s">
        <v>9302</v>
      </c>
      <c r="D1166" s="75" t="s">
        <v>87</v>
      </c>
      <c r="E1166" s="312" t="s">
        <v>9303</v>
      </c>
      <c r="F1166" s="310"/>
      <c r="G1166" s="75" t="s">
        <v>32</v>
      </c>
      <c r="H1166" s="75" t="s">
        <v>46</v>
      </c>
      <c r="I1166" s="75" t="s">
        <v>2959</v>
      </c>
      <c r="J1166" s="311"/>
      <c r="K1166" s="311"/>
      <c r="L1166" s="311"/>
      <c r="M1166" s="311"/>
      <c r="N1166" s="311"/>
      <c r="O1166" s="311"/>
      <c r="P1166" s="311"/>
      <c r="Q1166" s="311"/>
      <c r="R1166" s="311"/>
      <c r="S1166" s="311"/>
      <c r="T1166" s="311"/>
      <c r="U1166" s="31"/>
    </row>
    <row r="1167" spans="1:21" ht="28" hidden="1">
      <c r="A1167" s="31"/>
      <c r="B1167" s="75" t="s">
        <v>9304</v>
      </c>
      <c r="C1167" s="308" t="s">
        <v>9305</v>
      </c>
      <c r="D1167" s="75" t="s">
        <v>87</v>
      </c>
      <c r="E1167" s="312" t="s">
        <v>9306</v>
      </c>
      <c r="F1167" s="310"/>
      <c r="G1167" s="75" t="s">
        <v>214</v>
      </c>
      <c r="H1167" s="75" t="s">
        <v>46</v>
      </c>
      <c r="I1167" s="75" t="s">
        <v>2959</v>
      </c>
      <c r="J1167" s="311"/>
      <c r="K1167" s="311"/>
      <c r="L1167" s="311"/>
      <c r="M1167" s="311"/>
      <c r="N1167" s="311"/>
      <c r="O1167" s="311"/>
      <c r="P1167" s="311"/>
      <c r="Q1167" s="311"/>
      <c r="R1167" s="311"/>
      <c r="S1167" s="311"/>
      <c r="T1167" s="311"/>
      <c r="U1167" s="31"/>
    </row>
    <row r="1168" spans="1:21" ht="14" hidden="1">
      <c r="A1168" s="31"/>
      <c r="B1168" s="75" t="s">
        <v>9307</v>
      </c>
      <c r="C1168" s="308" t="s">
        <v>9308</v>
      </c>
      <c r="D1168" s="75" t="s">
        <v>87</v>
      </c>
      <c r="E1168" s="314" t="s">
        <v>9309</v>
      </c>
      <c r="F1168" s="310"/>
      <c r="G1168" s="75" t="s">
        <v>409</v>
      </c>
      <c r="H1168" s="75" t="s">
        <v>46</v>
      </c>
      <c r="I1168" s="75" t="s">
        <v>2959</v>
      </c>
      <c r="J1168" s="311"/>
      <c r="K1168" s="311"/>
      <c r="L1168" s="311"/>
      <c r="M1168" s="311"/>
      <c r="N1168" s="311"/>
      <c r="O1168" s="311"/>
      <c r="P1168" s="311"/>
      <c r="Q1168" s="311"/>
      <c r="R1168" s="311"/>
      <c r="S1168" s="311"/>
      <c r="T1168" s="311"/>
      <c r="U1168" s="31"/>
    </row>
    <row r="1169" spans="1:21" ht="13">
      <c r="A1169" s="31"/>
      <c r="B1169" s="328" t="s">
        <v>4172</v>
      </c>
      <c r="C1169" s="328" t="s">
        <v>354</v>
      </c>
      <c r="D1169" s="328" t="s">
        <v>1423</v>
      </c>
      <c r="E1169" s="38" t="s">
        <v>4173</v>
      </c>
      <c r="F1169" s="328" t="s">
        <v>4174</v>
      </c>
      <c r="G1169" s="328" t="s">
        <v>519</v>
      </c>
      <c r="H1169" s="328" t="s">
        <v>33</v>
      </c>
      <c r="I1169" s="328" t="s">
        <v>4175</v>
      </c>
      <c r="J1169" s="328" t="s">
        <v>48</v>
      </c>
      <c r="K1169" s="328" t="s">
        <v>4178</v>
      </c>
      <c r="L1169" s="328" t="s">
        <v>4180</v>
      </c>
      <c r="M1169" s="328" t="s">
        <v>83</v>
      </c>
      <c r="N1169" s="328" t="s">
        <v>4181</v>
      </c>
      <c r="O1169" s="311"/>
      <c r="P1169" s="311"/>
      <c r="Q1169" s="311"/>
      <c r="R1169" s="311"/>
      <c r="S1169" s="311"/>
      <c r="T1169" s="311"/>
      <c r="U1169" s="31"/>
    </row>
    <row r="1170" spans="1:21" ht="14" hidden="1">
      <c r="A1170" s="31"/>
      <c r="B1170" s="75" t="s">
        <v>9313</v>
      </c>
      <c r="C1170" s="308" t="s">
        <v>9314</v>
      </c>
      <c r="D1170" s="75" t="s">
        <v>87</v>
      </c>
      <c r="E1170" s="312" t="s">
        <v>9315</v>
      </c>
      <c r="F1170" s="310"/>
      <c r="G1170" s="75" t="s">
        <v>63</v>
      </c>
      <c r="H1170" s="75" t="s">
        <v>46</v>
      </c>
      <c r="I1170" s="75" t="s">
        <v>2959</v>
      </c>
      <c r="J1170" s="311"/>
      <c r="K1170" s="311"/>
      <c r="L1170" s="311"/>
      <c r="M1170" s="311"/>
      <c r="N1170" s="311"/>
      <c r="O1170" s="311"/>
      <c r="P1170" s="311"/>
      <c r="Q1170" s="311"/>
      <c r="R1170" s="311"/>
      <c r="S1170" s="311"/>
      <c r="T1170" s="311"/>
      <c r="U1170" s="31"/>
    </row>
    <row r="1171" spans="1:21" ht="13">
      <c r="A1171" s="31"/>
      <c r="B1171" s="328" t="s">
        <v>4320</v>
      </c>
      <c r="C1171" s="328" t="s">
        <v>354</v>
      </c>
      <c r="D1171" s="328" t="s">
        <v>4321</v>
      </c>
      <c r="E1171" s="38" t="s">
        <v>4322</v>
      </c>
      <c r="F1171" s="328" t="s">
        <v>4324</v>
      </c>
      <c r="G1171" s="328" t="s">
        <v>1633</v>
      </c>
      <c r="H1171" s="328" t="s">
        <v>33</v>
      </c>
      <c r="I1171" s="328" t="s">
        <v>4326</v>
      </c>
      <c r="J1171" s="328" t="s">
        <v>48</v>
      </c>
      <c r="K1171" s="328" t="s">
        <v>4328</v>
      </c>
      <c r="L1171" s="328" t="s">
        <v>4329</v>
      </c>
      <c r="M1171" s="328" t="s">
        <v>67</v>
      </c>
      <c r="N1171" s="327"/>
      <c r="O1171" s="311"/>
      <c r="P1171" s="311"/>
      <c r="Q1171" s="311"/>
      <c r="R1171" s="311"/>
      <c r="S1171" s="311"/>
      <c r="T1171" s="311"/>
      <c r="U1171" s="31"/>
    </row>
    <row r="1172" spans="1:21" ht="14" hidden="1">
      <c r="A1172" s="31"/>
      <c r="B1172" s="75" t="s">
        <v>9318</v>
      </c>
      <c r="C1172" s="308" t="s">
        <v>9319</v>
      </c>
      <c r="D1172" s="75" t="s">
        <v>87</v>
      </c>
      <c r="E1172" s="312" t="s">
        <v>9320</v>
      </c>
      <c r="F1172" s="310"/>
      <c r="G1172" s="75" t="s">
        <v>409</v>
      </c>
      <c r="H1172" s="75" t="s">
        <v>46</v>
      </c>
      <c r="I1172" s="75" t="s">
        <v>2959</v>
      </c>
      <c r="J1172" s="311"/>
      <c r="K1172" s="311"/>
      <c r="L1172" s="311"/>
      <c r="M1172" s="311"/>
      <c r="N1172" s="311"/>
      <c r="O1172" s="311"/>
      <c r="P1172" s="311"/>
      <c r="Q1172" s="311"/>
      <c r="R1172" s="311"/>
      <c r="S1172" s="311"/>
      <c r="T1172" s="311"/>
      <c r="U1172" s="31"/>
    </row>
    <row r="1173" spans="1:21" ht="13">
      <c r="A1173" s="31"/>
      <c r="B1173" s="328" t="s">
        <v>8858</v>
      </c>
      <c r="C1173" s="328" t="s">
        <v>354</v>
      </c>
      <c r="D1173" s="328" t="s">
        <v>8859</v>
      </c>
      <c r="E1173" s="328" t="s">
        <v>8860</v>
      </c>
      <c r="F1173" s="327"/>
      <c r="G1173" s="328" t="s">
        <v>519</v>
      </c>
      <c r="H1173" s="328" t="s">
        <v>33</v>
      </c>
      <c r="I1173" s="328" t="s">
        <v>8861</v>
      </c>
      <c r="J1173" s="328" t="s">
        <v>48</v>
      </c>
      <c r="K1173" s="327"/>
      <c r="L1173" s="327"/>
      <c r="M1173" s="328" t="s">
        <v>83</v>
      </c>
      <c r="N1173" s="327"/>
      <c r="O1173" s="311"/>
      <c r="P1173" s="311"/>
      <c r="Q1173" s="311"/>
      <c r="R1173" s="311"/>
      <c r="S1173" s="311"/>
      <c r="T1173" s="311"/>
      <c r="U1173" s="31"/>
    </row>
    <row r="1174" spans="1:21" ht="14" hidden="1">
      <c r="A1174" s="31"/>
      <c r="B1174" s="75" t="s">
        <v>9324</v>
      </c>
      <c r="C1174" s="308" t="s">
        <v>9325</v>
      </c>
      <c r="D1174" s="75" t="s">
        <v>87</v>
      </c>
      <c r="E1174" s="312" t="s">
        <v>9326</v>
      </c>
      <c r="F1174" s="310"/>
      <c r="G1174" s="75" t="s">
        <v>32</v>
      </c>
      <c r="H1174" s="75" t="s">
        <v>46</v>
      </c>
      <c r="I1174" s="75" t="s">
        <v>2959</v>
      </c>
      <c r="J1174" s="311"/>
      <c r="K1174" s="311"/>
      <c r="L1174" s="311"/>
      <c r="M1174" s="311"/>
      <c r="N1174" s="311"/>
      <c r="O1174" s="311"/>
      <c r="P1174" s="311"/>
      <c r="Q1174" s="311"/>
      <c r="R1174" s="311"/>
      <c r="S1174" s="311"/>
      <c r="T1174" s="311"/>
      <c r="U1174" s="31"/>
    </row>
    <row r="1175" spans="1:21" ht="14" hidden="1">
      <c r="A1175" s="31"/>
      <c r="B1175" s="75" t="s">
        <v>9327</v>
      </c>
      <c r="C1175" s="308" t="s">
        <v>9328</v>
      </c>
      <c r="D1175" s="75" t="s">
        <v>87</v>
      </c>
      <c r="E1175" s="312" t="s">
        <v>9329</v>
      </c>
      <c r="F1175" s="310"/>
      <c r="G1175" s="75" t="s">
        <v>409</v>
      </c>
      <c r="H1175" s="75" t="s">
        <v>46</v>
      </c>
      <c r="I1175" s="75" t="s">
        <v>2959</v>
      </c>
      <c r="J1175" s="311"/>
      <c r="K1175" s="311"/>
      <c r="L1175" s="311"/>
      <c r="M1175" s="311"/>
      <c r="N1175" s="311"/>
      <c r="O1175" s="311"/>
      <c r="P1175" s="311"/>
      <c r="Q1175" s="311"/>
      <c r="R1175" s="311"/>
      <c r="S1175" s="311"/>
      <c r="T1175" s="311"/>
      <c r="U1175" s="31"/>
    </row>
    <row r="1176" spans="1:21" ht="14" hidden="1">
      <c r="A1176" s="31"/>
      <c r="B1176" s="75" t="s">
        <v>9330</v>
      </c>
      <c r="C1176" s="308" t="s">
        <v>1524</v>
      </c>
      <c r="D1176" s="75" t="s">
        <v>87</v>
      </c>
      <c r="E1176" s="312" t="s">
        <v>9331</v>
      </c>
      <c r="F1176" s="310"/>
      <c r="G1176" s="75" t="s">
        <v>63</v>
      </c>
      <c r="H1176" s="75" t="s">
        <v>46</v>
      </c>
      <c r="I1176" s="75" t="s">
        <v>2959</v>
      </c>
      <c r="J1176" s="311"/>
      <c r="K1176" s="311"/>
      <c r="L1176" s="311"/>
      <c r="M1176" s="311"/>
      <c r="N1176" s="311"/>
      <c r="O1176" s="311"/>
      <c r="P1176" s="311"/>
      <c r="Q1176" s="311"/>
      <c r="R1176" s="311"/>
      <c r="S1176" s="311"/>
      <c r="T1176" s="311"/>
      <c r="U1176" s="31"/>
    </row>
    <row r="1177" spans="1:21" ht="14" hidden="1">
      <c r="A1177" s="31"/>
      <c r="B1177" s="75" t="s">
        <v>9332</v>
      </c>
      <c r="C1177" s="308" t="s">
        <v>9195</v>
      </c>
      <c r="D1177" s="75" t="s">
        <v>87</v>
      </c>
      <c r="E1177" s="312" t="s">
        <v>9333</v>
      </c>
      <c r="F1177" s="310"/>
      <c r="G1177" s="75" t="s">
        <v>409</v>
      </c>
      <c r="H1177" s="75" t="s">
        <v>46</v>
      </c>
      <c r="I1177" s="75" t="s">
        <v>2959</v>
      </c>
      <c r="J1177" s="311"/>
      <c r="K1177" s="311"/>
      <c r="L1177" s="311"/>
      <c r="M1177" s="311"/>
      <c r="N1177" s="311"/>
      <c r="O1177" s="311"/>
      <c r="P1177" s="311"/>
      <c r="Q1177" s="311"/>
      <c r="R1177" s="311"/>
      <c r="S1177" s="311"/>
      <c r="T1177" s="311"/>
      <c r="U1177" s="31"/>
    </row>
    <row r="1178" spans="1:21" ht="14" hidden="1">
      <c r="A1178" s="31"/>
      <c r="B1178" s="75" t="s">
        <v>9334</v>
      </c>
      <c r="C1178" s="308" t="s">
        <v>9335</v>
      </c>
      <c r="D1178" s="75" t="s">
        <v>87</v>
      </c>
      <c r="E1178" s="312" t="s">
        <v>9336</v>
      </c>
      <c r="F1178" s="310"/>
      <c r="G1178" s="75" t="s">
        <v>296</v>
      </c>
      <c r="H1178" s="75" t="s">
        <v>399</v>
      </c>
      <c r="I1178" s="75" t="s">
        <v>2959</v>
      </c>
      <c r="J1178" s="311"/>
      <c r="K1178" s="311"/>
      <c r="L1178" s="311"/>
      <c r="M1178" s="311"/>
      <c r="N1178" s="311"/>
      <c r="O1178" s="311"/>
      <c r="P1178" s="311"/>
      <c r="Q1178" s="311"/>
      <c r="R1178" s="311"/>
      <c r="S1178" s="311"/>
      <c r="T1178" s="311"/>
      <c r="U1178" s="31"/>
    </row>
    <row r="1179" spans="1:21" ht="14" hidden="1">
      <c r="A1179" s="31"/>
      <c r="B1179" s="75" t="s">
        <v>9337</v>
      </c>
      <c r="C1179" s="308" t="s">
        <v>9338</v>
      </c>
      <c r="D1179" s="75" t="s">
        <v>87</v>
      </c>
      <c r="E1179" s="312" t="s">
        <v>9339</v>
      </c>
      <c r="F1179" s="310"/>
      <c r="G1179" s="75" t="s">
        <v>296</v>
      </c>
      <c r="H1179" s="75" t="s">
        <v>399</v>
      </c>
      <c r="I1179" s="75" t="s">
        <v>2959</v>
      </c>
      <c r="J1179" s="311"/>
      <c r="K1179" s="311"/>
      <c r="L1179" s="311"/>
      <c r="M1179" s="311"/>
      <c r="N1179" s="311"/>
      <c r="O1179" s="311"/>
      <c r="P1179" s="311"/>
      <c r="Q1179" s="311"/>
      <c r="R1179" s="311"/>
      <c r="S1179" s="311"/>
      <c r="T1179" s="311"/>
      <c r="U1179" s="31"/>
    </row>
    <row r="1180" spans="1:21" ht="28" hidden="1">
      <c r="A1180" s="31"/>
      <c r="B1180" s="75" t="s">
        <v>9340</v>
      </c>
      <c r="C1180" s="308" t="s">
        <v>9341</v>
      </c>
      <c r="D1180" s="75" t="s">
        <v>87</v>
      </c>
      <c r="E1180" s="312" t="s">
        <v>9342</v>
      </c>
      <c r="F1180" s="310"/>
      <c r="G1180" s="75" t="s">
        <v>63</v>
      </c>
      <c r="H1180" s="75" t="s">
        <v>46</v>
      </c>
      <c r="I1180" s="75" t="s">
        <v>2959</v>
      </c>
      <c r="J1180" s="311"/>
      <c r="K1180" s="311"/>
      <c r="L1180" s="311"/>
      <c r="M1180" s="311"/>
      <c r="N1180" s="311"/>
      <c r="O1180" s="311"/>
      <c r="P1180" s="311"/>
      <c r="Q1180" s="311"/>
      <c r="R1180" s="311"/>
      <c r="S1180" s="311"/>
      <c r="T1180" s="311"/>
      <c r="U1180" s="31"/>
    </row>
    <row r="1181" spans="1:21" ht="14" hidden="1">
      <c r="A1181" s="31"/>
      <c r="B1181" s="75" t="s">
        <v>9343</v>
      </c>
      <c r="C1181" s="308" t="s">
        <v>9344</v>
      </c>
      <c r="D1181" s="75" t="s">
        <v>87</v>
      </c>
      <c r="E1181" s="312" t="s">
        <v>9345</v>
      </c>
      <c r="F1181" s="310"/>
      <c r="G1181" s="75" t="s">
        <v>1419</v>
      </c>
      <c r="H1181" s="75" t="s">
        <v>46</v>
      </c>
      <c r="I1181" s="75" t="s">
        <v>2959</v>
      </c>
      <c r="J1181" s="311"/>
      <c r="K1181" s="311"/>
      <c r="L1181" s="311"/>
      <c r="M1181" s="311"/>
      <c r="N1181" s="311"/>
      <c r="O1181" s="311"/>
      <c r="P1181" s="311"/>
      <c r="Q1181" s="311"/>
      <c r="R1181" s="311"/>
      <c r="S1181" s="311"/>
      <c r="T1181" s="311"/>
      <c r="U1181" s="31"/>
    </row>
    <row r="1182" spans="1:21" ht="14" hidden="1">
      <c r="A1182" s="31"/>
      <c r="B1182" s="75" t="s">
        <v>9346</v>
      </c>
      <c r="C1182" s="308" t="s">
        <v>798</v>
      </c>
      <c r="D1182" s="75" t="s">
        <v>87</v>
      </c>
      <c r="E1182" s="312" t="s">
        <v>9347</v>
      </c>
      <c r="F1182" s="310"/>
      <c r="G1182" s="75" t="s">
        <v>32</v>
      </c>
      <c r="H1182" s="75" t="s">
        <v>46</v>
      </c>
      <c r="I1182" s="75" t="s">
        <v>2959</v>
      </c>
      <c r="J1182" s="311"/>
      <c r="K1182" s="311"/>
      <c r="L1182" s="311"/>
      <c r="M1182" s="311"/>
      <c r="N1182" s="311"/>
      <c r="O1182" s="311"/>
      <c r="P1182" s="311"/>
      <c r="Q1182" s="311"/>
      <c r="R1182" s="311"/>
      <c r="S1182" s="311"/>
      <c r="T1182" s="311"/>
      <c r="U1182" s="31"/>
    </row>
    <row r="1183" spans="1:21" ht="14" hidden="1">
      <c r="A1183" s="31"/>
      <c r="B1183" s="75" t="s">
        <v>9348</v>
      </c>
      <c r="C1183" s="308" t="s">
        <v>211</v>
      </c>
      <c r="D1183" s="75" t="s">
        <v>87</v>
      </c>
      <c r="E1183" s="312" t="s">
        <v>9349</v>
      </c>
      <c r="F1183" s="310"/>
      <c r="G1183" s="75" t="s">
        <v>709</v>
      </c>
      <c r="H1183" s="75" t="s">
        <v>46</v>
      </c>
      <c r="I1183" s="75" t="s">
        <v>2959</v>
      </c>
      <c r="J1183" s="311"/>
      <c r="K1183" s="311"/>
      <c r="L1183" s="311"/>
      <c r="M1183" s="311"/>
      <c r="N1183" s="311"/>
      <c r="O1183" s="311"/>
      <c r="P1183" s="311"/>
      <c r="Q1183" s="311"/>
      <c r="R1183" s="311"/>
      <c r="S1183" s="311"/>
      <c r="T1183" s="311"/>
      <c r="U1183" s="31"/>
    </row>
    <row r="1184" spans="1:21" ht="14" hidden="1">
      <c r="A1184" s="31"/>
      <c r="B1184" s="75" t="s">
        <v>9350</v>
      </c>
      <c r="C1184" s="308" t="s">
        <v>9351</v>
      </c>
      <c r="D1184" s="75" t="s">
        <v>87</v>
      </c>
      <c r="E1184" s="312" t="s">
        <v>9352</v>
      </c>
      <c r="F1184" s="310"/>
      <c r="G1184" s="75" t="s">
        <v>32</v>
      </c>
      <c r="H1184" s="75" t="s">
        <v>46</v>
      </c>
      <c r="I1184" s="75" t="s">
        <v>2959</v>
      </c>
      <c r="J1184" s="311"/>
      <c r="K1184" s="311"/>
      <c r="L1184" s="311"/>
      <c r="M1184" s="311"/>
      <c r="N1184" s="311"/>
      <c r="O1184" s="311"/>
      <c r="P1184" s="311"/>
      <c r="Q1184" s="311"/>
      <c r="R1184" s="311"/>
      <c r="S1184" s="311"/>
      <c r="T1184" s="311"/>
      <c r="U1184" s="31"/>
    </row>
    <row r="1185" spans="1:21" ht="14">
      <c r="A1185" s="31"/>
      <c r="B1185" s="313" t="s">
        <v>9316</v>
      </c>
      <c r="C1185" s="308" t="s">
        <v>354</v>
      </c>
      <c r="D1185" s="313" t="s">
        <v>87</v>
      </c>
      <c r="E1185" s="312" t="s">
        <v>9317</v>
      </c>
      <c r="F1185" s="313"/>
      <c r="G1185" s="313" t="s">
        <v>161</v>
      </c>
      <c r="H1185" s="313" t="s">
        <v>33</v>
      </c>
      <c r="I1185" s="313" t="s">
        <v>2959</v>
      </c>
      <c r="J1185" s="313"/>
      <c r="K1185" s="313"/>
      <c r="L1185" s="313"/>
      <c r="M1185" s="313"/>
      <c r="N1185" s="313"/>
      <c r="O1185" s="311"/>
      <c r="P1185" s="311"/>
      <c r="Q1185" s="311"/>
      <c r="R1185" s="311"/>
      <c r="S1185" s="311"/>
      <c r="T1185" s="311"/>
      <c r="U1185" s="31"/>
    </row>
    <row r="1186" spans="1:21" ht="14" hidden="1">
      <c r="A1186" s="31"/>
      <c r="B1186" s="75" t="s">
        <v>9356</v>
      </c>
      <c r="C1186" s="308" t="s">
        <v>9357</v>
      </c>
      <c r="D1186" s="75" t="s">
        <v>87</v>
      </c>
      <c r="E1186" s="314" t="s">
        <v>9358</v>
      </c>
      <c r="F1186" s="310"/>
      <c r="G1186" s="75" t="s">
        <v>63</v>
      </c>
      <c r="H1186" s="75" t="s">
        <v>46</v>
      </c>
      <c r="I1186" s="75" t="s">
        <v>2959</v>
      </c>
      <c r="J1186" s="311"/>
      <c r="K1186" s="311"/>
      <c r="L1186" s="311"/>
      <c r="M1186" s="311"/>
      <c r="N1186" s="311"/>
      <c r="O1186" s="311"/>
      <c r="P1186" s="311"/>
      <c r="Q1186" s="311"/>
      <c r="R1186" s="311"/>
      <c r="S1186" s="311"/>
      <c r="T1186" s="311"/>
      <c r="U1186" s="31"/>
    </row>
    <row r="1187" spans="1:21" ht="14" hidden="1">
      <c r="A1187" s="31"/>
      <c r="B1187" s="75" t="s">
        <v>9359</v>
      </c>
      <c r="C1187" s="308" t="s">
        <v>9299</v>
      </c>
      <c r="D1187" s="75" t="s">
        <v>87</v>
      </c>
      <c r="E1187" s="312" t="s">
        <v>9360</v>
      </c>
      <c r="F1187" s="310"/>
      <c r="G1187" s="75" t="s">
        <v>214</v>
      </c>
      <c r="H1187" s="75" t="s">
        <v>46</v>
      </c>
      <c r="I1187" s="75" t="s">
        <v>2959</v>
      </c>
      <c r="J1187" s="311"/>
      <c r="K1187" s="311"/>
      <c r="L1187" s="311"/>
      <c r="M1187" s="311"/>
      <c r="N1187" s="311"/>
      <c r="O1187" s="311"/>
      <c r="P1187" s="311"/>
      <c r="Q1187" s="311"/>
      <c r="R1187" s="311"/>
      <c r="S1187" s="311"/>
      <c r="T1187" s="311"/>
      <c r="U1187" s="31"/>
    </row>
    <row r="1188" spans="1:21" ht="14" hidden="1">
      <c r="A1188" s="31"/>
      <c r="B1188" s="75" t="s">
        <v>9361</v>
      </c>
      <c r="C1188" s="308" t="s">
        <v>9362</v>
      </c>
      <c r="D1188" s="75" t="s">
        <v>87</v>
      </c>
      <c r="E1188" s="312" t="s">
        <v>9363</v>
      </c>
      <c r="F1188" s="310"/>
      <c r="G1188" s="75" t="s">
        <v>709</v>
      </c>
      <c r="H1188" s="75" t="s">
        <v>9364</v>
      </c>
      <c r="I1188" s="75" t="s">
        <v>2959</v>
      </c>
      <c r="J1188" s="311"/>
      <c r="K1188" s="311"/>
      <c r="L1188" s="311"/>
      <c r="M1188" s="311"/>
      <c r="N1188" s="311"/>
      <c r="O1188" s="311"/>
      <c r="P1188" s="311"/>
      <c r="Q1188" s="311"/>
      <c r="R1188" s="311"/>
      <c r="S1188" s="311"/>
      <c r="T1188" s="311"/>
      <c r="U1188" s="31"/>
    </row>
    <row r="1189" spans="1:21" ht="14">
      <c r="A1189" s="31"/>
      <c r="B1189" s="313" t="s">
        <v>9367</v>
      </c>
      <c r="C1189" s="308" t="s">
        <v>354</v>
      </c>
      <c r="D1189" s="313" t="s">
        <v>87</v>
      </c>
      <c r="E1189" s="312" t="s">
        <v>9368</v>
      </c>
      <c r="F1189" s="313"/>
      <c r="G1189" s="313" t="s">
        <v>161</v>
      </c>
      <c r="H1189" s="313" t="s">
        <v>33</v>
      </c>
      <c r="I1189" s="313" t="s">
        <v>2959</v>
      </c>
      <c r="J1189" s="313"/>
      <c r="K1189" s="313"/>
      <c r="L1189" s="313"/>
      <c r="M1189" s="313"/>
      <c r="N1189" s="313"/>
      <c r="O1189" s="311"/>
      <c r="P1189" s="311"/>
      <c r="Q1189" s="311"/>
      <c r="R1189" s="311"/>
      <c r="S1189" s="311"/>
      <c r="T1189" s="311"/>
      <c r="U1189" s="31"/>
    </row>
    <row r="1190" spans="1:21" ht="13">
      <c r="B1190" s="328" t="s">
        <v>3992</v>
      </c>
      <c r="C1190" s="328" t="s">
        <v>3993</v>
      </c>
      <c r="D1190" s="328" t="s">
        <v>3994</v>
      </c>
      <c r="E1190" s="38" t="s">
        <v>3995</v>
      </c>
      <c r="F1190" s="328" t="s">
        <v>3996</v>
      </c>
      <c r="G1190" s="328" t="s">
        <v>3536</v>
      </c>
      <c r="H1190" s="328" t="s">
        <v>33</v>
      </c>
      <c r="I1190" s="328" t="s">
        <v>3997</v>
      </c>
      <c r="J1190" s="328" t="s">
        <v>35</v>
      </c>
      <c r="K1190" s="328" t="s">
        <v>3998</v>
      </c>
      <c r="L1190" s="327"/>
      <c r="M1190" s="328" t="s">
        <v>83</v>
      </c>
      <c r="N1190" s="327"/>
      <c r="O1190" s="311"/>
      <c r="P1190" s="311"/>
      <c r="Q1190" s="311"/>
      <c r="R1190" s="311"/>
      <c r="S1190" s="311"/>
      <c r="T1190" s="311"/>
    </row>
    <row r="1191" spans="1:21" ht="14" hidden="1">
      <c r="B1191" s="75" t="s">
        <v>9369</v>
      </c>
      <c r="C1191" s="308" t="s">
        <v>9370</v>
      </c>
      <c r="D1191" s="75" t="s">
        <v>87</v>
      </c>
      <c r="E1191" s="312" t="s">
        <v>9371</v>
      </c>
      <c r="F1191" s="311"/>
      <c r="G1191" s="75" t="s">
        <v>409</v>
      </c>
      <c r="H1191" s="75" t="s">
        <v>387</v>
      </c>
      <c r="I1191" s="75" t="s">
        <v>2959</v>
      </c>
      <c r="J1191" s="311"/>
      <c r="K1191" s="311"/>
      <c r="L1191" s="311"/>
      <c r="M1191" s="311"/>
      <c r="N1191" s="311"/>
      <c r="O1191" s="311"/>
      <c r="P1191" s="311"/>
      <c r="Q1191" s="311"/>
      <c r="R1191" s="311"/>
      <c r="S1191" s="311"/>
      <c r="T1191" s="311"/>
    </row>
    <row r="1192" spans="1:21" ht="14" hidden="1">
      <c r="B1192" s="75" t="s">
        <v>9372</v>
      </c>
      <c r="C1192" s="308" t="s">
        <v>9373</v>
      </c>
      <c r="D1192" s="75" t="s">
        <v>87</v>
      </c>
      <c r="E1192" s="312" t="s">
        <v>9374</v>
      </c>
      <c r="F1192" s="311"/>
      <c r="G1192" s="75" t="s">
        <v>409</v>
      </c>
      <c r="H1192" s="75" t="s">
        <v>46</v>
      </c>
      <c r="I1192" s="75" t="s">
        <v>2959</v>
      </c>
      <c r="J1192" s="311"/>
      <c r="K1192" s="311"/>
      <c r="L1192" s="311"/>
      <c r="M1192" s="311"/>
      <c r="N1192" s="311"/>
      <c r="O1192" s="311"/>
      <c r="P1192" s="311"/>
      <c r="Q1192" s="311"/>
      <c r="R1192" s="311"/>
      <c r="S1192" s="311"/>
      <c r="T1192" s="311"/>
    </row>
    <row r="1193" spans="1:21" ht="14" hidden="1">
      <c r="B1193" s="75" t="s">
        <v>9375</v>
      </c>
      <c r="C1193" s="308" t="s">
        <v>4286</v>
      </c>
      <c r="D1193" s="75" t="s">
        <v>87</v>
      </c>
      <c r="E1193" s="313"/>
      <c r="F1193" s="311"/>
      <c r="G1193" s="75" t="s">
        <v>409</v>
      </c>
      <c r="H1193" s="75" t="s">
        <v>387</v>
      </c>
      <c r="I1193" s="75" t="s">
        <v>2959</v>
      </c>
      <c r="J1193" s="311"/>
      <c r="K1193" s="311"/>
      <c r="L1193" s="311"/>
      <c r="M1193" s="311"/>
      <c r="N1193" s="311"/>
      <c r="O1193" s="311"/>
      <c r="P1193" s="311"/>
      <c r="Q1193" s="311"/>
      <c r="R1193" s="311"/>
      <c r="S1193" s="311"/>
      <c r="T1193" s="311"/>
    </row>
    <row r="1194" spans="1:21" ht="14" hidden="1">
      <c r="B1194" s="75" t="s">
        <v>9376</v>
      </c>
      <c r="C1194" s="308" t="s">
        <v>4286</v>
      </c>
      <c r="D1194" s="75" t="s">
        <v>87</v>
      </c>
      <c r="E1194" s="313"/>
      <c r="F1194" s="311"/>
      <c r="G1194" s="75" t="s">
        <v>409</v>
      </c>
      <c r="H1194" s="75" t="s">
        <v>387</v>
      </c>
      <c r="I1194" s="75" t="s">
        <v>2959</v>
      </c>
      <c r="J1194" s="311"/>
      <c r="K1194" s="311"/>
      <c r="L1194" s="311"/>
      <c r="M1194" s="311"/>
      <c r="N1194" s="311"/>
      <c r="O1194" s="311"/>
      <c r="P1194" s="311"/>
      <c r="Q1194" s="311"/>
      <c r="R1194" s="311"/>
      <c r="S1194" s="311"/>
      <c r="T1194" s="311"/>
    </row>
    <row r="1195" spans="1:21" ht="14" hidden="1">
      <c r="B1195" s="75" t="s">
        <v>9377</v>
      </c>
      <c r="C1195" s="308" t="s">
        <v>9378</v>
      </c>
      <c r="D1195" s="75" t="s">
        <v>87</v>
      </c>
      <c r="E1195" s="313"/>
      <c r="F1195" s="311"/>
      <c r="G1195" s="75" t="s">
        <v>161</v>
      </c>
      <c r="H1195" s="75" t="s">
        <v>387</v>
      </c>
      <c r="I1195" s="75" t="s">
        <v>2959</v>
      </c>
      <c r="J1195" s="311"/>
      <c r="K1195" s="311"/>
      <c r="L1195" s="311"/>
      <c r="M1195" s="311"/>
      <c r="N1195" s="311"/>
      <c r="O1195" s="311"/>
      <c r="P1195" s="311"/>
      <c r="Q1195" s="311"/>
      <c r="R1195" s="311"/>
      <c r="S1195" s="311"/>
      <c r="T1195" s="311"/>
    </row>
    <row r="1196" spans="1:21" ht="13">
      <c r="B1196" s="328" t="s">
        <v>8697</v>
      </c>
      <c r="C1196" s="328" t="s">
        <v>3993</v>
      </c>
      <c r="D1196" s="328" t="s">
        <v>8698</v>
      </c>
      <c r="E1196" s="38" t="s">
        <v>8699</v>
      </c>
      <c r="F1196" s="327"/>
      <c r="G1196" s="328" t="s">
        <v>228</v>
      </c>
      <c r="H1196" s="328" t="s">
        <v>33</v>
      </c>
      <c r="I1196" s="328" t="s">
        <v>8702</v>
      </c>
      <c r="J1196" s="328" t="s">
        <v>81</v>
      </c>
      <c r="K1196" s="327"/>
      <c r="L1196" s="327"/>
      <c r="M1196" s="328" t="s">
        <v>83</v>
      </c>
      <c r="N1196" s="328" t="s">
        <v>8703</v>
      </c>
      <c r="O1196" s="311"/>
      <c r="P1196" s="311"/>
      <c r="Q1196" s="311"/>
      <c r="R1196" s="311"/>
      <c r="S1196" s="311"/>
      <c r="T1196" s="311"/>
    </row>
    <row r="1197" spans="1:21" ht="14" hidden="1">
      <c r="B1197" s="316" t="s">
        <v>9382</v>
      </c>
      <c r="C1197" s="317" t="s">
        <v>1524</v>
      </c>
      <c r="D1197" s="75" t="s">
        <v>87</v>
      </c>
      <c r="E1197" s="312" t="s">
        <v>9383</v>
      </c>
      <c r="F1197" s="311"/>
      <c r="G1197" s="75" t="s">
        <v>63</v>
      </c>
      <c r="H1197" s="75" t="s">
        <v>399</v>
      </c>
      <c r="I1197" s="75" t="s">
        <v>2959</v>
      </c>
    </row>
    <row r="1198" spans="1:21" ht="15" hidden="1">
      <c r="B1198" s="35" t="s">
        <v>9384</v>
      </c>
      <c r="C1198" s="35" t="s">
        <v>9385</v>
      </c>
      <c r="D1198" s="35" t="s">
        <v>9386</v>
      </c>
      <c r="E1198" s="318" t="s">
        <v>9387</v>
      </c>
      <c r="F1198" s="35" t="s">
        <v>9388</v>
      </c>
      <c r="G1198" s="35" t="s">
        <v>3107</v>
      </c>
      <c r="H1198" s="75" t="s">
        <v>46</v>
      </c>
      <c r="I1198" s="75" t="s">
        <v>9389</v>
      </c>
      <c r="M1198" s="200" t="s">
        <v>83</v>
      </c>
      <c r="N1198" s="35" t="s">
        <v>551</v>
      </c>
    </row>
    <row r="1199" spans="1:21" ht="15" hidden="1">
      <c r="B1199" s="35" t="s">
        <v>9390</v>
      </c>
      <c r="C1199" s="35" t="s">
        <v>2943</v>
      </c>
      <c r="D1199" s="35" t="s">
        <v>9391</v>
      </c>
      <c r="E1199" s="318" t="s">
        <v>9392</v>
      </c>
      <c r="G1199" s="35" t="s">
        <v>931</v>
      </c>
      <c r="H1199" s="75" t="s">
        <v>46</v>
      </c>
      <c r="I1199" s="75" t="s">
        <v>9389</v>
      </c>
      <c r="M1199" s="200" t="s">
        <v>83</v>
      </c>
    </row>
    <row r="1200" spans="1:21" ht="15" hidden="1">
      <c r="B1200" s="35" t="s">
        <v>9393</v>
      </c>
      <c r="C1200" s="35" t="s">
        <v>9394</v>
      </c>
      <c r="D1200" s="35" t="s">
        <v>8110</v>
      </c>
      <c r="E1200" s="318" t="s">
        <v>9395</v>
      </c>
      <c r="G1200" s="35" t="s">
        <v>214</v>
      </c>
      <c r="H1200" s="75" t="s">
        <v>46</v>
      </c>
      <c r="I1200" s="75" t="s">
        <v>9389</v>
      </c>
      <c r="M1200" s="200" t="s">
        <v>83</v>
      </c>
    </row>
    <row r="1201" spans="2:14" ht="15" hidden="1">
      <c r="B1201" s="35" t="s">
        <v>9396</v>
      </c>
      <c r="C1201" s="35" t="s">
        <v>9397</v>
      </c>
      <c r="D1201" s="35" t="s">
        <v>9398</v>
      </c>
      <c r="E1201" s="318" t="s">
        <v>9399</v>
      </c>
      <c r="G1201" s="35" t="s">
        <v>9400</v>
      </c>
      <c r="H1201" s="35" t="s">
        <v>9401</v>
      </c>
      <c r="I1201" s="75" t="s">
        <v>9389</v>
      </c>
      <c r="M1201" s="200" t="s">
        <v>83</v>
      </c>
    </row>
    <row r="1202" spans="2:14" ht="15" hidden="1">
      <c r="B1202" s="35" t="s">
        <v>9402</v>
      </c>
      <c r="C1202" s="35" t="s">
        <v>1671</v>
      </c>
      <c r="D1202" s="35" t="s">
        <v>9263</v>
      </c>
      <c r="E1202" s="318" t="s">
        <v>9403</v>
      </c>
      <c r="G1202" s="35" t="s">
        <v>63</v>
      </c>
      <c r="H1202" s="75" t="s">
        <v>46</v>
      </c>
      <c r="I1202" s="75" t="s">
        <v>9389</v>
      </c>
      <c r="M1202" s="200" t="s">
        <v>67</v>
      </c>
    </row>
    <row r="1203" spans="2:14" ht="13">
      <c r="B1203" s="35" t="s">
        <v>3694</v>
      </c>
      <c r="C1203" s="35" t="s">
        <v>3695</v>
      </c>
      <c r="D1203" s="35" t="s">
        <v>3696</v>
      </c>
      <c r="E1203" s="38" t="s">
        <v>3697</v>
      </c>
      <c r="F1203" s="328" t="s">
        <v>3699</v>
      </c>
      <c r="G1203" s="35" t="s">
        <v>45</v>
      </c>
      <c r="H1203" s="328" t="s">
        <v>33</v>
      </c>
      <c r="I1203" s="328" t="s">
        <v>3701</v>
      </c>
      <c r="J1203" s="328" t="s">
        <v>104</v>
      </c>
      <c r="K1203" s="327"/>
      <c r="M1203" s="328" t="s">
        <v>83</v>
      </c>
      <c r="N1203" s="328" t="s">
        <v>2356</v>
      </c>
    </row>
    <row r="1204" spans="2:14" ht="15" hidden="1">
      <c r="B1204" s="35" t="s">
        <v>9407</v>
      </c>
      <c r="C1204" s="35" t="s">
        <v>1267</v>
      </c>
      <c r="D1204" s="35" t="s">
        <v>9408</v>
      </c>
      <c r="E1204" s="318" t="s">
        <v>9409</v>
      </c>
      <c r="G1204" s="35" t="s">
        <v>214</v>
      </c>
      <c r="H1204" s="35" t="s">
        <v>9401</v>
      </c>
      <c r="I1204" s="75" t="s">
        <v>9389</v>
      </c>
      <c r="M1204" s="200" t="s">
        <v>83</v>
      </c>
    </row>
    <row r="1205" spans="2:14" ht="15" hidden="1">
      <c r="B1205" s="35" t="s">
        <v>9410</v>
      </c>
      <c r="C1205" s="35" t="s">
        <v>211</v>
      </c>
      <c r="D1205" s="35" t="s">
        <v>9411</v>
      </c>
      <c r="E1205" s="318" t="s">
        <v>9412</v>
      </c>
      <c r="G1205" s="35" t="s">
        <v>709</v>
      </c>
      <c r="H1205" s="75" t="s">
        <v>46</v>
      </c>
      <c r="I1205" s="75" t="s">
        <v>9389</v>
      </c>
      <c r="M1205" s="200" t="s">
        <v>67</v>
      </c>
    </row>
    <row r="1206" spans="2:14" ht="15" hidden="1">
      <c r="B1206" s="35" t="s">
        <v>9413</v>
      </c>
      <c r="C1206" s="35" t="s">
        <v>9414</v>
      </c>
      <c r="D1206" s="35" t="s">
        <v>9415</v>
      </c>
      <c r="E1206" s="318" t="s">
        <v>9416</v>
      </c>
      <c r="G1206" s="35" t="s">
        <v>9417</v>
      </c>
      <c r="H1206" s="75" t="s">
        <v>46</v>
      </c>
      <c r="I1206" s="75" t="s">
        <v>9389</v>
      </c>
      <c r="M1206" s="200" t="s">
        <v>67</v>
      </c>
    </row>
    <row r="1207" spans="2:14" ht="13">
      <c r="B1207" s="184" t="s">
        <v>233</v>
      </c>
      <c r="C1207" s="184" t="s">
        <v>234</v>
      </c>
      <c r="D1207" s="35" t="s">
        <v>236</v>
      </c>
      <c r="E1207" s="38" t="s">
        <v>237</v>
      </c>
      <c r="F1207" s="184" t="s">
        <v>240</v>
      </c>
      <c r="G1207" s="184" t="s">
        <v>242</v>
      </c>
      <c r="H1207" s="35" t="s">
        <v>33</v>
      </c>
      <c r="I1207" s="328" t="s">
        <v>243</v>
      </c>
      <c r="J1207" s="328" t="s">
        <v>104</v>
      </c>
      <c r="K1207" s="328" t="s">
        <v>244</v>
      </c>
      <c r="M1207" s="328" t="s">
        <v>83</v>
      </c>
    </row>
    <row r="1208" spans="2:14" ht="13">
      <c r="B1208" s="328" t="s">
        <v>2060</v>
      </c>
      <c r="C1208" s="328" t="s">
        <v>234</v>
      </c>
      <c r="D1208" s="38" t="s">
        <v>2061</v>
      </c>
      <c r="E1208" s="38" t="s">
        <v>2062</v>
      </c>
      <c r="F1208" s="328" t="s">
        <v>2063</v>
      </c>
      <c r="G1208" s="328" t="s">
        <v>322</v>
      </c>
      <c r="H1208" s="328" t="s">
        <v>33</v>
      </c>
      <c r="I1208" s="328" t="s">
        <v>2064</v>
      </c>
      <c r="J1208" s="328" t="s">
        <v>48</v>
      </c>
      <c r="K1208" s="328" t="s">
        <v>2065</v>
      </c>
      <c r="L1208" s="328" t="s">
        <v>2066</v>
      </c>
      <c r="M1208" s="328" t="s">
        <v>83</v>
      </c>
      <c r="N1208" s="328" t="s">
        <v>2067</v>
      </c>
    </row>
    <row r="1209" spans="2:14" ht="13">
      <c r="B1209" s="184" t="s">
        <v>2514</v>
      </c>
      <c r="C1209" s="184" t="s">
        <v>234</v>
      </c>
      <c r="D1209" s="35" t="s">
        <v>2515</v>
      </c>
      <c r="E1209" s="38" t="s">
        <v>2516</v>
      </c>
      <c r="F1209" s="328" t="s">
        <v>2517</v>
      </c>
      <c r="G1209" s="184" t="s">
        <v>2518</v>
      </c>
      <c r="H1209" s="35" t="s">
        <v>33</v>
      </c>
      <c r="I1209" s="328" t="s">
        <v>2519</v>
      </c>
      <c r="J1209" s="328" t="s">
        <v>48</v>
      </c>
      <c r="K1209" s="328" t="s">
        <v>2520</v>
      </c>
      <c r="L1209" s="328" t="s">
        <v>2521</v>
      </c>
      <c r="M1209" s="328" t="s">
        <v>83</v>
      </c>
      <c r="N1209" s="328" t="s">
        <v>1420</v>
      </c>
    </row>
    <row r="1210" spans="2:14" ht="13">
      <c r="B1210" s="184" t="s">
        <v>3093</v>
      </c>
      <c r="C1210" s="184" t="s">
        <v>3094</v>
      </c>
      <c r="D1210" s="35" t="s">
        <v>3095</v>
      </c>
      <c r="E1210" s="38" t="s">
        <v>3096</v>
      </c>
      <c r="F1210" s="184" t="s">
        <v>3097</v>
      </c>
      <c r="G1210" s="184" t="s">
        <v>161</v>
      </c>
      <c r="H1210" s="35" t="s">
        <v>33</v>
      </c>
      <c r="I1210" s="328" t="s">
        <v>3098</v>
      </c>
      <c r="J1210" s="328" t="s">
        <v>48</v>
      </c>
      <c r="K1210" s="328" t="s">
        <v>3099</v>
      </c>
      <c r="M1210" s="328" t="s">
        <v>83</v>
      </c>
      <c r="N1210" s="328" t="s">
        <v>3100</v>
      </c>
    </row>
    <row r="1211" spans="2:14" ht="13">
      <c r="B1211" s="184" t="s">
        <v>6375</v>
      </c>
      <c r="C1211" s="184" t="s">
        <v>234</v>
      </c>
      <c r="D1211" s="35" t="s">
        <v>6376</v>
      </c>
      <c r="E1211" s="38" t="s">
        <v>6377</v>
      </c>
      <c r="F1211" s="328" t="s">
        <v>6379</v>
      </c>
      <c r="G1211" s="184" t="s">
        <v>519</v>
      </c>
      <c r="H1211" s="35" t="s">
        <v>33</v>
      </c>
      <c r="I1211" s="328" t="s">
        <v>6380</v>
      </c>
      <c r="J1211" s="328" t="s">
        <v>48</v>
      </c>
      <c r="K1211" s="328" t="s">
        <v>6381</v>
      </c>
      <c r="L1211" s="327"/>
      <c r="M1211" s="328" t="s">
        <v>83</v>
      </c>
      <c r="N1211" s="327"/>
    </row>
    <row r="1212" spans="2:14" ht="13">
      <c r="B1212" s="184" t="s">
        <v>7382</v>
      </c>
      <c r="C1212" s="184" t="s">
        <v>234</v>
      </c>
      <c r="D1212" s="35" t="s">
        <v>7383</v>
      </c>
      <c r="E1212" s="38" t="s">
        <v>7384</v>
      </c>
      <c r="F1212" s="327"/>
      <c r="G1212" s="184" t="s">
        <v>7385</v>
      </c>
      <c r="H1212" s="35" t="s">
        <v>33</v>
      </c>
      <c r="I1212" s="328" t="s">
        <v>15</v>
      </c>
      <c r="J1212" s="328" t="s">
        <v>48</v>
      </c>
      <c r="K1212" s="327"/>
      <c r="L1212" s="327"/>
      <c r="M1212" s="328" t="s">
        <v>83</v>
      </c>
      <c r="N1212" s="327"/>
    </row>
    <row r="1213" spans="2:14" ht="13">
      <c r="B1213" s="184" t="s">
        <v>7510</v>
      </c>
      <c r="C1213" s="184" t="s">
        <v>234</v>
      </c>
      <c r="D1213" s="328" t="s">
        <v>7511</v>
      </c>
      <c r="E1213" s="328" t="s">
        <v>7510</v>
      </c>
      <c r="F1213" s="327"/>
      <c r="G1213" s="184" t="s">
        <v>363</v>
      </c>
      <c r="H1213" s="35" t="s">
        <v>33</v>
      </c>
      <c r="I1213" s="328" t="s">
        <v>7512</v>
      </c>
      <c r="J1213" s="328" t="s">
        <v>48</v>
      </c>
      <c r="K1213" s="327"/>
      <c r="M1213" s="328" t="s">
        <v>67</v>
      </c>
    </row>
    <row r="1214" spans="2:14" ht="13">
      <c r="B1214" s="184" t="s">
        <v>7375</v>
      </c>
      <c r="C1214" s="184" t="s">
        <v>7377</v>
      </c>
      <c r="D1214" s="35" t="s">
        <v>632</v>
      </c>
      <c r="E1214" s="38" t="s">
        <v>7379</v>
      </c>
      <c r="F1214" s="327"/>
      <c r="G1214" s="184" t="s">
        <v>63</v>
      </c>
      <c r="H1214" s="35" t="s">
        <v>33</v>
      </c>
      <c r="I1214" s="328" t="s">
        <v>7381</v>
      </c>
      <c r="J1214" s="328" t="s">
        <v>48</v>
      </c>
      <c r="K1214" s="327"/>
      <c r="L1214" s="327"/>
      <c r="M1214" s="328" t="s">
        <v>83</v>
      </c>
    </row>
    <row r="1215" spans="2:14" ht="13">
      <c r="B1215" s="184" t="s">
        <v>2873</v>
      </c>
      <c r="C1215" s="184" t="s">
        <v>162</v>
      </c>
      <c r="D1215" s="35" t="s">
        <v>2874</v>
      </c>
      <c r="E1215" s="38" t="s">
        <v>2875</v>
      </c>
      <c r="F1215" s="184" t="s">
        <v>2878</v>
      </c>
      <c r="G1215" s="184" t="s">
        <v>2879</v>
      </c>
      <c r="H1215" s="35" t="s">
        <v>33</v>
      </c>
      <c r="I1215" s="328" t="s">
        <v>2880</v>
      </c>
      <c r="J1215" s="328" t="s">
        <v>104</v>
      </c>
      <c r="K1215" s="328" t="s">
        <v>2882</v>
      </c>
      <c r="L1215" s="328" t="s">
        <v>2883</v>
      </c>
      <c r="M1215" s="328" t="s">
        <v>67</v>
      </c>
      <c r="N1215" s="328" t="s">
        <v>2884</v>
      </c>
    </row>
    <row r="1216" spans="2:14" ht="13">
      <c r="B1216" s="184" t="s">
        <v>7127</v>
      </c>
      <c r="C1216" s="184" t="s">
        <v>162</v>
      </c>
      <c r="D1216" s="35" t="s">
        <v>7128</v>
      </c>
      <c r="E1216" s="328" t="s">
        <v>7129</v>
      </c>
      <c r="F1216" s="327"/>
      <c r="G1216" s="184" t="s">
        <v>3001</v>
      </c>
      <c r="H1216" s="35" t="s">
        <v>33</v>
      </c>
      <c r="I1216" s="328" t="s">
        <v>7130</v>
      </c>
      <c r="J1216" s="328" t="s">
        <v>746</v>
      </c>
      <c r="K1216" s="328" t="s">
        <v>7131</v>
      </c>
      <c r="M1216" s="328" t="s">
        <v>83</v>
      </c>
      <c r="N1216" s="328" t="s">
        <v>7132</v>
      </c>
    </row>
    <row r="1217" spans="2:14" ht="13">
      <c r="B1217" s="184" t="s">
        <v>8770</v>
      </c>
      <c r="C1217" s="184" t="s">
        <v>162</v>
      </c>
      <c r="D1217" s="35" t="s">
        <v>7012</v>
      </c>
      <c r="E1217" s="38" t="s">
        <v>8771</v>
      </c>
      <c r="F1217" s="327"/>
      <c r="G1217" s="184" t="s">
        <v>931</v>
      </c>
      <c r="H1217" s="35" t="s">
        <v>33</v>
      </c>
      <c r="I1217" s="328" t="s">
        <v>8773</v>
      </c>
      <c r="J1217" s="328" t="s">
        <v>48</v>
      </c>
      <c r="K1217" s="327"/>
      <c r="M1217" s="328" t="s">
        <v>83</v>
      </c>
      <c r="N1217" s="327"/>
    </row>
    <row r="1218" spans="2:14" ht="13">
      <c r="B1218" s="184" t="s">
        <v>9558</v>
      </c>
      <c r="C1218" s="324" t="s">
        <v>162</v>
      </c>
      <c r="D1218" s="324" t="s">
        <v>6286</v>
      </c>
      <c r="E1218" s="323" t="s">
        <v>9559</v>
      </c>
      <c r="F1218" s="327"/>
      <c r="G1218" s="324" t="s">
        <v>9557</v>
      </c>
      <c r="H1218" s="324" t="s">
        <v>33</v>
      </c>
      <c r="I1218" s="324" t="s">
        <v>9546</v>
      </c>
      <c r="J1218" s="324" t="s">
        <v>48</v>
      </c>
      <c r="L1218" s="327"/>
      <c r="M1218" s="324" t="s">
        <v>83</v>
      </c>
      <c r="N1218" s="324" t="s">
        <v>9551</v>
      </c>
    </row>
    <row r="1219" spans="2:14" ht="13">
      <c r="B1219" s="184" t="s">
        <v>9562</v>
      </c>
      <c r="C1219" s="324" t="s">
        <v>162</v>
      </c>
      <c r="D1219" s="324" t="s">
        <v>6286</v>
      </c>
      <c r="E1219" s="323" t="s">
        <v>9563</v>
      </c>
      <c r="F1219" s="327"/>
      <c r="G1219" s="324" t="s">
        <v>9557</v>
      </c>
      <c r="H1219" s="324" t="s">
        <v>33</v>
      </c>
      <c r="I1219" s="324" t="s">
        <v>9546</v>
      </c>
      <c r="J1219" s="324" t="s">
        <v>48</v>
      </c>
      <c r="M1219" s="324" t="s">
        <v>83</v>
      </c>
      <c r="N1219" s="324" t="s">
        <v>9551</v>
      </c>
    </row>
    <row r="1220" spans="2:14" ht="13">
      <c r="B1220" s="184" t="s">
        <v>9571</v>
      </c>
      <c r="C1220" s="324" t="s">
        <v>162</v>
      </c>
      <c r="D1220" s="324" t="s">
        <v>6286</v>
      </c>
      <c r="E1220" s="323" t="s">
        <v>9572</v>
      </c>
      <c r="F1220" s="327"/>
      <c r="G1220" s="324" t="s">
        <v>9568</v>
      </c>
      <c r="H1220" s="324" t="s">
        <v>33</v>
      </c>
      <c r="I1220" s="324" t="s">
        <v>9546</v>
      </c>
      <c r="J1220" s="324" t="s">
        <v>48</v>
      </c>
      <c r="K1220" s="327"/>
      <c r="M1220" s="324" t="s">
        <v>83</v>
      </c>
      <c r="N1220" s="324" t="s">
        <v>9551</v>
      </c>
    </row>
    <row r="1221" spans="2:14" ht="13">
      <c r="B1221" s="184" t="s">
        <v>7305</v>
      </c>
      <c r="C1221" s="184" t="s">
        <v>7306</v>
      </c>
      <c r="D1221" s="35" t="s">
        <v>7307</v>
      </c>
      <c r="E1221" s="38" t="s">
        <v>7308</v>
      </c>
      <c r="F1221" s="327"/>
      <c r="G1221" s="184" t="s">
        <v>63</v>
      </c>
      <c r="H1221" s="35" t="s">
        <v>33</v>
      </c>
      <c r="I1221" s="328" t="s">
        <v>7310</v>
      </c>
      <c r="J1221" s="328" t="s">
        <v>48</v>
      </c>
      <c r="K1221" s="327"/>
      <c r="M1221" s="328" t="s">
        <v>83</v>
      </c>
      <c r="N1221" s="328" t="s">
        <v>1420</v>
      </c>
    </row>
    <row r="1222" spans="2:14" ht="13">
      <c r="B1222" s="184" t="s">
        <v>9521</v>
      </c>
      <c r="C1222" s="184" t="s">
        <v>9522</v>
      </c>
      <c r="D1222" s="35" t="s">
        <v>2380</v>
      </c>
      <c r="E1222" s="304" t="s">
        <v>9523</v>
      </c>
      <c r="F1222" s="320" t="s">
        <v>9524</v>
      </c>
      <c r="G1222" s="184" t="s">
        <v>9520</v>
      </c>
      <c r="H1222" s="35" t="s">
        <v>33</v>
      </c>
      <c r="I1222" s="319" t="s">
        <v>9423</v>
      </c>
      <c r="J1222" s="327"/>
      <c r="K1222" s="327"/>
      <c r="M1222" s="327"/>
    </row>
    <row r="1223" spans="2:14" ht="13">
      <c r="B1223" s="184" t="s">
        <v>8535</v>
      </c>
      <c r="C1223" s="184" t="s">
        <v>8536</v>
      </c>
      <c r="D1223" s="35" t="s">
        <v>8537</v>
      </c>
      <c r="E1223" s="328" t="s">
        <v>8539</v>
      </c>
      <c r="F1223" s="327"/>
      <c r="G1223" s="184" t="s">
        <v>1739</v>
      </c>
      <c r="H1223" s="35" t="s">
        <v>33</v>
      </c>
      <c r="I1223" s="328" t="s">
        <v>8541</v>
      </c>
      <c r="J1223" s="328" t="s">
        <v>48</v>
      </c>
      <c r="M1223" s="328" t="s">
        <v>83</v>
      </c>
    </row>
    <row r="1224" spans="2:14" ht="13">
      <c r="B1224" s="184" t="s">
        <v>8098</v>
      </c>
      <c r="C1224" s="184" t="s">
        <v>8099</v>
      </c>
      <c r="D1224" s="35" t="s">
        <v>8100</v>
      </c>
      <c r="E1224" s="38" t="s">
        <v>8101</v>
      </c>
      <c r="F1224" s="327"/>
      <c r="G1224" s="184" t="s">
        <v>344</v>
      </c>
      <c r="H1224" s="35" t="s">
        <v>33</v>
      </c>
      <c r="I1224" s="328" t="s">
        <v>8104</v>
      </c>
      <c r="J1224" s="328" t="s">
        <v>48</v>
      </c>
      <c r="K1224" s="327"/>
      <c r="M1224" s="328" t="s">
        <v>83</v>
      </c>
    </row>
    <row r="1225" spans="2:14" ht="13">
      <c r="B1225" s="184" t="s">
        <v>9582</v>
      </c>
      <c r="C1225" s="324" t="s">
        <v>9583</v>
      </c>
      <c r="D1225" s="324" t="s">
        <v>6286</v>
      </c>
      <c r="E1225" s="323" t="s">
        <v>9584</v>
      </c>
      <c r="F1225" s="327"/>
      <c r="G1225" s="324" t="s">
        <v>32</v>
      </c>
      <c r="H1225" s="324" t="s">
        <v>33</v>
      </c>
      <c r="I1225" s="324" t="s">
        <v>9546</v>
      </c>
      <c r="J1225" s="324" t="s">
        <v>48</v>
      </c>
      <c r="K1225" s="327"/>
      <c r="M1225" s="324" t="s">
        <v>83</v>
      </c>
      <c r="N1225" s="324" t="s">
        <v>9551</v>
      </c>
    </row>
    <row r="1226" spans="2:14" ht="13">
      <c r="B1226" s="184" t="s">
        <v>9585</v>
      </c>
      <c r="C1226" s="324" t="s">
        <v>9583</v>
      </c>
      <c r="D1226" s="324" t="s">
        <v>6286</v>
      </c>
      <c r="E1226" s="323" t="s">
        <v>9586</v>
      </c>
      <c r="F1226" s="327"/>
      <c r="G1226" s="324" t="s">
        <v>32</v>
      </c>
      <c r="H1226" s="324" t="s">
        <v>33</v>
      </c>
      <c r="I1226" s="324" t="s">
        <v>9546</v>
      </c>
      <c r="J1226" s="324" t="s">
        <v>48</v>
      </c>
      <c r="M1226" s="324" t="s">
        <v>83</v>
      </c>
      <c r="N1226" s="324" t="s">
        <v>9551</v>
      </c>
    </row>
    <row r="1227" spans="2:14" ht="13">
      <c r="B1227" s="184" t="s">
        <v>9587</v>
      </c>
      <c r="C1227" s="324" t="s">
        <v>9583</v>
      </c>
      <c r="D1227" s="324" t="s">
        <v>6286</v>
      </c>
      <c r="E1227" s="323" t="s">
        <v>9588</v>
      </c>
      <c r="F1227" s="327"/>
      <c r="G1227" s="324" t="s">
        <v>32</v>
      </c>
      <c r="H1227" s="324" t="s">
        <v>33</v>
      </c>
      <c r="I1227" s="324" t="s">
        <v>9546</v>
      </c>
      <c r="J1227" s="324" t="s">
        <v>48</v>
      </c>
      <c r="K1227" s="327"/>
      <c r="L1227" s="327"/>
      <c r="M1227" s="324" t="s">
        <v>83</v>
      </c>
      <c r="N1227" s="324" t="s">
        <v>9551</v>
      </c>
    </row>
    <row r="1228" spans="2:14" ht="13">
      <c r="B1228" s="184" t="s">
        <v>9591</v>
      </c>
      <c r="C1228" s="324" t="s">
        <v>9583</v>
      </c>
      <c r="D1228" s="324" t="s">
        <v>6286</v>
      </c>
      <c r="E1228" s="323" t="s">
        <v>9592</v>
      </c>
      <c r="F1228" s="327"/>
      <c r="G1228" s="324" t="s">
        <v>32</v>
      </c>
      <c r="H1228" s="324" t="s">
        <v>33</v>
      </c>
      <c r="I1228" s="324" t="s">
        <v>9546</v>
      </c>
      <c r="J1228" s="324" t="s">
        <v>48</v>
      </c>
      <c r="M1228" s="324" t="s">
        <v>83</v>
      </c>
      <c r="N1228" s="324" t="s">
        <v>9551</v>
      </c>
    </row>
    <row r="1229" spans="2:14" ht="13">
      <c r="B1229" s="184" t="s">
        <v>5869</v>
      </c>
      <c r="C1229" s="184" t="s">
        <v>5870</v>
      </c>
      <c r="D1229" s="35" t="s">
        <v>5871</v>
      </c>
      <c r="E1229" s="38" t="s">
        <v>5873</v>
      </c>
      <c r="F1229" s="328" t="s">
        <v>5875</v>
      </c>
      <c r="G1229" s="184" t="s">
        <v>802</v>
      </c>
      <c r="H1229" s="35" t="s">
        <v>33</v>
      </c>
      <c r="I1229" s="328" t="s">
        <v>5790</v>
      </c>
      <c r="J1229" s="328" t="s">
        <v>48</v>
      </c>
      <c r="K1229" s="328" t="s">
        <v>5879</v>
      </c>
      <c r="L1229" s="328" t="s">
        <v>5880</v>
      </c>
      <c r="M1229" s="328" t="s">
        <v>83</v>
      </c>
      <c r="N1229" s="327"/>
    </row>
    <row r="1230" spans="2:14" ht="13">
      <c r="B1230" s="184" t="s">
        <v>9602</v>
      </c>
      <c r="C1230" s="324" t="s">
        <v>9603</v>
      </c>
      <c r="D1230" s="324" t="s">
        <v>6286</v>
      </c>
      <c r="E1230" s="323" t="s">
        <v>9604</v>
      </c>
      <c r="F1230" s="327"/>
      <c r="G1230" s="324" t="s">
        <v>32</v>
      </c>
      <c r="H1230" s="324" t="s">
        <v>33</v>
      </c>
      <c r="I1230" s="324" t="s">
        <v>9546</v>
      </c>
      <c r="J1230" s="324" t="s">
        <v>48</v>
      </c>
      <c r="M1230" s="324" t="s">
        <v>83</v>
      </c>
      <c r="N1230" s="324" t="s">
        <v>9551</v>
      </c>
    </row>
    <row r="1231" spans="2:14" ht="13">
      <c r="B1231" s="184" t="s">
        <v>9605</v>
      </c>
      <c r="C1231" s="324" t="s">
        <v>9603</v>
      </c>
      <c r="D1231" s="324" t="s">
        <v>6286</v>
      </c>
      <c r="E1231" s="323" t="s">
        <v>9606</v>
      </c>
      <c r="F1231" s="327"/>
      <c r="G1231" s="324" t="s">
        <v>32</v>
      </c>
      <c r="H1231" s="324" t="s">
        <v>33</v>
      </c>
      <c r="I1231" s="324" t="s">
        <v>9546</v>
      </c>
      <c r="J1231" s="324" t="s">
        <v>48</v>
      </c>
      <c r="K1231" s="327"/>
      <c r="M1231" s="324" t="s">
        <v>83</v>
      </c>
      <c r="N1231" s="324" t="s">
        <v>9551</v>
      </c>
    </row>
    <row r="1232" spans="2:14" ht="13">
      <c r="B1232" s="184" t="s">
        <v>4336</v>
      </c>
      <c r="C1232" s="184" t="s">
        <v>958</v>
      </c>
      <c r="D1232" s="35" t="s">
        <v>4337</v>
      </c>
      <c r="E1232" s="38" t="s">
        <v>4338</v>
      </c>
      <c r="F1232" s="184" t="s">
        <v>4339</v>
      </c>
      <c r="G1232" s="184" t="s">
        <v>32</v>
      </c>
      <c r="H1232" s="35" t="s">
        <v>33</v>
      </c>
      <c r="I1232" s="328" t="s">
        <v>4340</v>
      </c>
      <c r="J1232" s="328" t="s">
        <v>48</v>
      </c>
      <c r="K1232" s="328" t="s">
        <v>4341</v>
      </c>
      <c r="L1232" s="328" t="s">
        <v>4342</v>
      </c>
      <c r="M1232" s="328" t="s">
        <v>67</v>
      </c>
    </row>
    <row r="1233" spans="2:14" ht="13">
      <c r="B1233" s="184" t="s">
        <v>5572</v>
      </c>
      <c r="C1233" s="328" t="s">
        <v>958</v>
      </c>
      <c r="D1233" s="328" t="s">
        <v>5276</v>
      </c>
      <c r="E1233" s="343" t="s">
        <v>5573</v>
      </c>
      <c r="F1233" s="328" t="s">
        <v>5575</v>
      </c>
      <c r="G1233" s="328" t="s">
        <v>32</v>
      </c>
      <c r="H1233" s="328" t="s">
        <v>33</v>
      </c>
      <c r="I1233" s="328" t="s">
        <v>5576</v>
      </c>
      <c r="J1233" s="328" t="s">
        <v>48</v>
      </c>
      <c r="M1233" s="328" t="s">
        <v>67</v>
      </c>
      <c r="N1233" s="327"/>
    </row>
    <row r="1234" spans="2:14" ht="13">
      <c r="B1234" s="184" t="s">
        <v>7118</v>
      </c>
      <c r="C1234" s="184" t="s">
        <v>7119</v>
      </c>
      <c r="D1234" s="35" t="s">
        <v>7120</v>
      </c>
      <c r="E1234" s="38" t="s">
        <v>7121</v>
      </c>
      <c r="F1234" s="327"/>
      <c r="G1234" s="184" t="s">
        <v>32</v>
      </c>
      <c r="H1234" s="35" t="s">
        <v>33</v>
      </c>
      <c r="I1234" s="328" t="s">
        <v>453</v>
      </c>
      <c r="J1234" s="328" t="s">
        <v>48</v>
      </c>
      <c r="K1234" s="328" t="s">
        <v>7125</v>
      </c>
      <c r="M1234" s="328" t="s">
        <v>83</v>
      </c>
    </row>
    <row r="1235" spans="2:14" ht="13">
      <c r="B1235" s="184" t="s">
        <v>5790</v>
      </c>
      <c r="C1235" s="184" t="s">
        <v>5792</v>
      </c>
      <c r="D1235" s="35" t="s">
        <v>5793</v>
      </c>
      <c r="E1235" s="38" t="s">
        <v>5795</v>
      </c>
      <c r="F1235" s="328" t="s">
        <v>5796</v>
      </c>
      <c r="G1235" s="184" t="s">
        <v>32</v>
      </c>
      <c r="H1235" s="35" t="s">
        <v>33</v>
      </c>
      <c r="I1235" s="328" t="s">
        <v>5797</v>
      </c>
      <c r="J1235" s="328" t="s">
        <v>48</v>
      </c>
      <c r="K1235" s="328" t="s">
        <v>5798</v>
      </c>
      <c r="L1235" s="328" t="s">
        <v>5799</v>
      </c>
      <c r="M1235" s="328" t="s">
        <v>83</v>
      </c>
      <c r="N1235" s="328" t="s">
        <v>5800</v>
      </c>
    </row>
    <row r="1236" spans="2:14" ht="13">
      <c r="B1236" s="184" t="s">
        <v>6786</v>
      </c>
      <c r="C1236" s="328" t="s">
        <v>5792</v>
      </c>
      <c r="D1236" s="328" t="s">
        <v>6787</v>
      </c>
      <c r="E1236" s="38" t="s">
        <v>6788</v>
      </c>
      <c r="F1236" s="327"/>
      <c r="G1236" s="328" t="s">
        <v>32</v>
      </c>
      <c r="H1236" s="328" t="s">
        <v>33</v>
      </c>
      <c r="I1236" s="328" t="s">
        <v>6789</v>
      </c>
      <c r="J1236" s="328" t="s">
        <v>104</v>
      </c>
      <c r="M1236" s="328" t="s">
        <v>83</v>
      </c>
      <c r="N1236" s="327"/>
    </row>
    <row r="1237" spans="2:14" ht="13">
      <c r="B1237" s="184" t="s">
        <v>741</v>
      </c>
      <c r="C1237" s="328" t="s">
        <v>742</v>
      </c>
      <c r="D1237" s="328" t="s">
        <v>348</v>
      </c>
      <c r="E1237" s="38" t="s">
        <v>743</v>
      </c>
      <c r="F1237" s="328" t="s">
        <v>744</v>
      </c>
      <c r="G1237" s="328" t="s">
        <v>32</v>
      </c>
      <c r="H1237" s="328" t="s">
        <v>33</v>
      </c>
      <c r="I1237" s="328" t="s">
        <v>745</v>
      </c>
      <c r="J1237" s="328" t="s">
        <v>746</v>
      </c>
      <c r="M1237" s="328" t="s">
        <v>83</v>
      </c>
      <c r="N1237" s="327"/>
    </row>
    <row r="1238" spans="2:14" ht="13">
      <c r="B1238" s="184" t="s">
        <v>9002</v>
      </c>
      <c r="C1238" s="328" t="s">
        <v>742</v>
      </c>
      <c r="D1238" s="328" t="s">
        <v>9003</v>
      </c>
      <c r="E1238" s="38" t="s">
        <v>9004</v>
      </c>
      <c r="F1238" s="327"/>
      <c r="G1238" s="328" t="s">
        <v>32</v>
      </c>
      <c r="H1238" s="328" t="s">
        <v>33</v>
      </c>
      <c r="I1238" s="328" t="s">
        <v>9005</v>
      </c>
      <c r="J1238" s="328" t="s">
        <v>48</v>
      </c>
      <c r="M1238" s="328" t="s">
        <v>67</v>
      </c>
      <c r="N1238" s="327"/>
    </row>
    <row r="1239" spans="2:14" ht="13">
      <c r="B1239" s="184" t="s">
        <v>8800</v>
      </c>
      <c r="C1239" s="184" t="s">
        <v>8801</v>
      </c>
      <c r="D1239" s="35" t="s">
        <v>8802</v>
      </c>
      <c r="E1239" s="38" t="s">
        <v>8803</v>
      </c>
      <c r="F1239" s="327"/>
      <c r="G1239" s="184" t="s">
        <v>519</v>
      </c>
      <c r="H1239" s="35" t="s">
        <v>33</v>
      </c>
      <c r="I1239" s="328" t="s">
        <v>8806</v>
      </c>
      <c r="J1239" s="328" t="s">
        <v>48</v>
      </c>
      <c r="K1239" s="328" t="s">
        <v>8806</v>
      </c>
      <c r="L1239" s="327"/>
      <c r="M1239" s="328" t="s">
        <v>83</v>
      </c>
      <c r="N1239" s="328" t="s">
        <v>8807</v>
      </c>
    </row>
    <row r="1240" spans="2:14" ht="13">
      <c r="B1240" s="184" t="s">
        <v>2962</v>
      </c>
      <c r="C1240" s="184" t="s">
        <v>2963</v>
      </c>
      <c r="D1240" s="35" t="s">
        <v>2965</v>
      </c>
      <c r="E1240" s="38" t="s">
        <v>2967</v>
      </c>
      <c r="F1240" s="184" t="s">
        <v>2968</v>
      </c>
      <c r="G1240" s="184" t="s">
        <v>691</v>
      </c>
      <c r="H1240" s="35" t="s">
        <v>33</v>
      </c>
      <c r="I1240" s="328" t="s">
        <v>2969</v>
      </c>
      <c r="J1240" s="328" t="s">
        <v>35</v>
      </c>
      <c r="K1240" s="328" t="s">
        <v>2969</v>
      </c>
      <c r="L1240" s="328" t="s">
        <v>2970</v>
      </c>
      <c r="M1240" s="328" t="s">
        <v>67</v>
      </c>
    </row>
    <row r="1241" spans="2:14" ht="13">
      <c r="B1241" s="184" t="s">
        <v>4423</v>
      </c>
      <c r="C1241" s="184" t="s">
        <v>4424</v>
      </c>
      <c r="D1241" s="35" t="s">
        <v>4425</v>
      </c>
      <c r="E1241" s="328" t="s">
        <v>4423</v>
      </c>
      <c r="F1241" s="328" t="s">
        <v>4426</v>
      </c>
      <c r="G1241" s="184" t="s">
        <v>266</v>
      </c>
      <c r="H1241" s="35" t="s">
        <v>33</v>
      </c>
      <c r="I1241" s="328" t="s">
        <v>4427</v>
      </c>
      <c r="J1241" s="328" t="s">
        <v>48</v>
      </c>
      <c r="K1241" s="327"/>
      <c r="L1241" s="327"/>
      <c r="M1241" s="328" t="s">
        <v>83</v>
      </c>
      <c r="N1241" s="327"/>
    </row>
    <row r="1242" spans="2:14" ht="13">
      <c r="B1242" s="184" t="s">
        <v>2659</v>
      </c>
      <c r="C1242" s="184" t="s">
        <v>2660</v>
      </c>
      <c r="D1242" s="35" t="s">
        <v>2661</v>
      </c>
      <c r="E1242" s="38" t="s">
        <v>2662</v>
      </c>
      <c r="F1242" s="184" t="s">
        <v>2663</v>
      </c>
      <c r="G1242" s="184" t="s">
        <v>1185</v>
      </c>
      <c r="H1242" s="35" t="s">
        <v>33</v>
      </c>
      <c r="I1242" s="328" t="s">
        <v>2664</v>
      </c>
      <c r="J1242" s="328" t="s">
        <v>104</v>
      </c>
      <c r="K1242" s="328" t="s">
        <v>2665</v>
      </c>
      <c r="L1242" s="328" t="s">
        <v>2667</v>
      </c>
      <c r="M1242" s="328" t="s">
        <v>67</v>
      </c>
    </row>
    <row r="1243" spans="2:14" ht="13">
      <c r="B1243" s="184" t="s">
        <v>7345</v>
      </c>
      <c r="C1243" s="184" t="s">
        <v>7346</v>
      </c>
      <c r="D1243" s="35" t="s">
        <v>7347</v>
      </c>
      <c r="E1243" s="38" t="s">
        <v>7348</v>
      </c>
      <c r="F1243" s="327"/>
      <c r="G1243" s="184" t="s">
        <v>398</v>
      </c>
      <c r="H1243" s="35" t="s">
        <v>33</v>
      </c>
      <c r="I1243" s="328" t="s">
        <v>7351</v>
      </c>
      <c r="J1243" s="328" t="s">
        <v>35</v>
      </c>
      <c r="M1243" s="328" t="s">
        <v>83</v>
      </c>
      <c r="N1243" s="328" t="s">
        <v>7352</v>
      </c>
    </row>
    <row r="1244" spans="2:14" ht="13" hidden="1">
      <c r="B1244" s="321" t="s">
        <v>9542</v>
      </c>
      <c r="C1244" s="322" t="s">
        <v>9543</v>
      </c>
      <c r="D1244" s="322" t="s">
        <v>6286</v>
      </c>
      <c r="E1244" s="323" t="s">
        <v>9544</v>
      </c>
      <c r="G1244" s="322" t="s">
        <v>9545</v>
      </c>
      <c r="H1244" s="322" t="s">
        <v>126</v>
      </c>
      <c r="I1244" s="322" t="s">
        <v>9546</v>
      </c>
      <c r="J1244" s="322" t="s">
        <v>48</v>
      </c>
      <c r="M1244" s="322" t="s">
        <v>83</v>
      </c>
      <c r="N1244" s="322" t="s">
        <v>9547</v>
      </c>
    </row>
    <row r="1245" spans="2:14" ht="13">
      <c r="B1245" s="321" t="s">
        <v>5167</v>
      </c>
      <c r="C1245" s="328" t="s">
        <v>5168</v>
      </c>
      <c r="D1245" s="328" t="s">
        <v>5169</v>
      </c>
      <c r="E1245" s="328" t="s">
        <v>5167</v>
      </c>
      <c r="F1245" s="328" t="s">
        <v>5170</v>
      </c>
      <c r="G1245" s="328" t="s">
        <v>322</v>
      </c>
      <c r="H1245" s="328" t="s">
        <v>33</v>
      </c>
      <c r="I1245" s="328" t="s">
        <v>5171</v>
      </c>
      <c r="J1245" s="328" t="s">
        <v>104</v>
      </c>
      <c r="K1245" s="327"/>
      <c r="L1245" s="327"/>
      <c r="M1245" s="328" t="s">
        <v>83</v>
      </c>
      <c r="N1245" s="327"/>
    </row>
    <row r="1246" spans="2:14" ht="13">
      <c r="B1246" s="321" t="s">
        <v>8961</v>
      </c>
      <c r="C1246" s="328" t="s">
        <v>8963</v>
      </c>
      <c r="D1246" s="328" t="s">
        <v>8964</v>
      </c>
      <c r="E1246" s="38" t="s">
        <v>8965</v>
      </c>
      <c r="F1246" s="327"/>
      <c r="G1246" s="328" t="s">
        <v>8969</v>
      </c>
      <c r="H1246" s="328" t="s">
        <v>33</v>
      </c>
      <c r="I1246" s="328" t="s">
        <v>167</v>
      </c>
      <c r="J1246" s="328" t="s">
        <v>35</v>
      </c>
      <c r="K1246" s="328" t="s">
        <v>8971</v>
      </c>
      <c r="L1246" s="328" t="s">
        <v>8972</v>
      </c>
      <c r="M1246" s="328" t="s">
        <v>83</v>
      </c>
      <c r="N1246" s="327"/>
    </row>
    <row r="1247" spans="2:14" ht="13">
      <c r="B1247" s="321" t="s">
        <v>5270</v>
      </c>
      <c r="C1247" s="328" t="s">
        <v>2211</v>
      </c>
      <c r="D1247" s="328" t="s">
        <v>5063</v>
      </c>
      <c r="E1247" s="38" t="s">
        <v>5271</v>
      </c>
      <c r="F1247" s="328" t="s">
        <v>5272</v>
      </c>
      <c r="G1247" s="328" t="s">
        <v>1325</v>
      </c>
      <c r="H1247" s="328" t="s">
        <v>33</v>
      </c>
      <c r="I1247" s="328" t="s">
        <v>5273</v>
      </c>
      <c r="J1247" s="328" t="s">
        <v>81</v>
      </c>
      <c r="M1247" s="328" t="s">
        <v>83</v>
      </c>
      <c r="N1247" s="327"/>
    </row>
    <row r="1248" spans="2:14" ht="13">
      <c r="B1248" s="321" t="s">
        <v>6158</v>
      </c>
      <c r="C1248" s="328" t="s">
        <v>2211</v>
      </c>
      <c r="D1248" s="328" t="s">
        <v>1153</v>
      </c>
      <c r="E1248" s="38" t="s">
        <v>6159</v>
      </c>
      <c r="F1248" s="328" t="s">
        <v>6162</v>
      </c>
      <c r="G1248" s="328" t="s">
        <v>214</v>
      </c>
      <c r="H1248" s="328" t="s">
        <v>33</v>
      </c>
      <c r="I1248" s="328" t="s">
        <v>6163</v>
      </c>
      <c r="J1248" s="328" t="s">
        <v>48</v>
      </c>
      <c r="K1248" s="328" t="s">
        <v>6165</v>
      </c>
      <c r="L1248" s="327"/>
      <c r="M1248" s="328" t="s">
        <v>67</v>
      </c>
      <c r="N1248" s="327"/>
    </row>
    <row r="1249" spans="2:14" ht="13">
      <c r="B1249" s="321" t="s">
        <v>6233</v>
      </c>
      <c r="C1249" s="328" t="s">
        <v>2211</v>
      </c>
      <c r="D1249" s="38" t="s">
        <v>4165</v>
      </c>
      <c r="E1249" s="38" t="s">
        <v>6236</v>
      </c>
      <c r="F1249" s="328" t="s">
        <v>6237</v>
      </c>
      <c r="G1249" s="328" t="s">
        <v>214</v>
      </c>
      <c r="H1249" s="328" t="s">
        <v>33</v>
      </c>
      <c r="I1249" s="328" t="s">
        <v>4171</v>
      </c>
      <c r="J1249" s="328" t="s">
        <v>48</v>
      </c>
      <c r="M1249" s="328" t="s">
        <v>83</v>
      </c>
      <c r="N1249" s="328" t="s">
        <v>6238</v>
      </c>
    </row>
    <row r="1250" spans="2:14" ht="13">
      <c r="B1250" s="321" t="s">
        <v>6284</v>
      </c>
      <c r="C1250" s="328" t="s">
        <v>2211</v>
      </c>
      <c r="D1250" s="328" t="s">
        <v>5063</v>
      </c>
      <c r="E1250" s="38" t="s">
        <v>6285</v>
      </c>
      <c r="F1250" s="328" t="s">
        <v>6287</v>
      </c>
      <c r="G1250" s="328" t="s">
        <v>214</v>
      </c>
      <c r="H1250" s="328" t="s">
        <v>33</v>
      </c>
      <c r="I1250" s="328" t="s">
        <v>6288</v>
      </c>
      <c r="J1250" s="328" t="s">
        <v>48</v>
      </c>
      <c r="M1250" s="328" t="s">
        <v>83</v>
      </c>
      <c r="N1250" s="327"/>
    </row>
    <row r="1251" spans="2:14" ht="13">
      <c r="B1251" s="321" t="s">
        <v>3356</v>
      </c>
      <c r="C1251" s="328" t="s">
        <v>3357</v>
      </c>
      <c r="D1251" s="328" t="s">
        <v>3358</v>
      </c>
      <c r="E1251" s="328" t="s">
        <v>3356</v>
      </c>
      <c r="F1251" s="328" t="s">
        <v>3359</v>
      </c>
      <c r="G1251" s="328" t="s">
        <v>3360</v>
      </c>
      <c r="H1251" s="328" t="s">
        <v>33</v>
      </c>
      <c r="I1251" s="328" t="s">
        <v>3361</v>
      </c>
      <c r="J1251" s="328" t="s">
        <v>48</v>
      </c>
      <c r="M1251" s="328" t="s">
        <v>83</v>
      </c>
      <c r="N1251" s="327"/>
    </row>
    <row r="1252" spans="2:14" ht="13">
      <c r="B1252" s="321" t="s">
        <v>8600</v>
      </c>
      <c r="C1252" s="328" t="s">
        <v>8601</v>
      </c>
      <c r="D1252" s="328" t="s">
        <v>8602</v>
      </c>
      <c r="E1252" s="38" t="s">
        <v>8603</v>
      </c>
      <c r="F1252" s="327"/>
      <c r="G1252" s="328" t="s">
        <v>8604</v>
      </c>
      <c r="H1252" s="328" t="s">
        <v>33</v>
      </c>
      <c r="I1252" s="328" t="s">
        <v>8605</v>
      </c>
      <c r="J1252" s="328" t="s">
        <v>48</v>
      </c>
      <c r="M1252" s="328" t="s">
        <v>83</v>
      </c>
      <c r="N1252" s="328" t="s">
        <v>8607</v>
      </c>
    </row>
    <row r="1253" spans="2:14" ht="13">
      <c r="B1253" s="321" t="s">
        <v>6075</v>
      </c>
      <c r="C1253" s="328" t="s">
        <v>6076</v>
      </c>
      <c r="D1253" s="328" t="s">
        <v>6077</v>
      </c>
      <c r="E1253" s="38" t="s">
        <v>6078</v>
      </c>
      <c r="F1253" s="328" t="s">
        <v>6080</v>
      </c>
      <c r="G1253" s="328" t="s">
        <v>161</v>
      </c>
      <c r="H1253" s="328" t="s">
        <v>33</v>
      </c>
      <c r="I1253" s="328" t="s">
        <v>6081</v>
      </c>
      <c r="J1253" s="328" t="s">
        <v>48</v>
      </c>
      <c r="K1253" s="327"/>
      <c r="M1253" s="328" t="s">
        <v>83</v>
      </c>
      <c r="N1253" s="328" t="s">
        <v>6083</v>
      </c>
    </row>
    <row r="1254" spans="2:14" ht="13">
      <c r="B1254" s="321" t="s">
        <v>2494</v>
      </c>
      <c r="C1254" s="328" t="s">
        <v>2495</v>
      </c>
      <c r="D1254" s="328" t="s">
        <v>2496</v>
      </c>
      <c r="E1254" s="38" t="s">
        <v>2497</v>
      </c>
      <c r="F1254" s="328" t="s">
        <v>2498</v>
      </c>
      <c r="G1254" s="328" t="s">
        <v>2499</v>
      </c>
      <c r="H1254" s="328" t="s">
        <v>33</v>
      </c>
      <c r="I1254" s="328" t="s">
        <v>2500</v>
      </c>
      <c r="J1254" s="328" t="s">
        <v>48</v>
      </c>
      <c r="K1254" s="328" t="s">
        <v>2501</v>
      </c>
      <c r="M1254" s="328" t="s">
        <v>83</v>
      </c>
      <c r="N1254" s="328" t="s">
        <v>2502</v>
      </c>
    </row>
    <row r="1255" spans="2:14" ht="13">
      <c r="B1255" s="321" t="s">
        <v>7159</v>
      </c>
      <c r="C1255" s="328" t="s">
        <v>5199</v>
      </c>
      <c r="D1255" s="328" t="s">
        <v>7160</v>
      </c>
      <c r="E1255" s="38" t="s">
        <v>7161</v>
      </c>
      <c r="F1255" s="327"/>
      <c r="G1255" s="328" t="s">
        <v>2682</v>
      </c>
      <c r="H1255" s="328" t="s">
        <v>33</v>
      </c>
      <c r="I1255" s="328" t="s">
        <v>7162</v>
      </c>
      <c r="J1255" s="328" t="s">
        <v>35</v>
      </c>
      <c r="K1255" s="328" t="s">
        <v>7163</v>
      </c>
      <c r="L1255" s="328" t="s">
        <v>7164</v>
      </c>
      <c r="M1255" s="328" t="s">
        <v>83</v>
      </c>
      <c r="N1255" s="327"/>
    </row>
    <row r="1256" spans="2:14" ht="13">
      <c r="B1256" s="321" t="s">
        <v>1634</v>
      </c>
      <c r="C1256" s="328" t="s">
        <v>4744</v>
      </c>
      <c r="D1256" s="328" t="s">
        <v>4745</v>
      </c>
      <c r="E1256" s="38" t="s">
        <v>4746</v>
      </c>
      <c r="F1256" s="328" t="s">
        <v>4747</v>
      </c>
      <c r="G1256" s="328" t="s">
        <v>4748</v>
      </c>
      <c r="H1256" s="328" t="s">
        <v>33</v>
      </c>
      <c r="I1256" s="328" t="s">
        <v>4749</v>
      </c>
      <c r="J1256" s="328" t="s">
        <v>48</v>
      </c>
      <c r="M1256" s="328" t="s">
        <v>67</v>
      </c>
      <c r="N1256" s="327"/>
    </row>
    <row r="1257" spans="2:14" ht="13">
      <c r="B1257" s="321" t="s">
        <v>7339</v>
      </c>
      <c r="C1257" s="328" t="s">
        <v>3393</v>
      </c>
      <c r="D1257" s="38" t="s">
        <v>7340</v>
      </c>
      <c r="E1257" s="38" t="s">
        <v>7341</v>
      </c>
      <c r="F1257" s="327"/>
      <c r="G1257" s="328" t="s">
        <v>1994</v>
      </c>
      <c r="H1257" s="328" t="s">
        <v>33</v>
      </c>
      <c r="I1257" s="328" t="s">
        <v>7342</v>
      </c>
      <c r="J1257" s="328" t="s">
        <v>104</v>
      </c>
      <c r="K1257" s="328" t="s">
        <v>7343</v>
      </c>
      <c r="L1257" s="328" t="s">
        <v>7344</v>
      </c>
      <c r="M1257" s="328" t="s">
        <v>83</v>
      </c>
      <c r="N1257" s="327"/>
    </row>
    <row r="1258" spans="2:14" ht="13">
      <c r="B1258" s="321" t="s">
        <v>3201</v>
      </c>
      <c r="C1258" s="328" t="s">
        <v>3202</v>
      </c>
      <c r="D1258" s="328" t="s">
        <v>3204</v>
      </c>
      <c r="E1258" s="38" t="s">
        <v>3205</v>
      </c>
      <c r="F1258" s="328" t="s">
        <v>3207</v>
      </c>
      <c r="G1258" s="328" t="s">
        <v>709</v>
      </c>
      <c r="H1258" s="328" t="s">
        <v>33</v>
      </c>
      <c r="I1258" s="328" t="s">
        <v>3208</v>
      </c>
      <c r="J1258" s="328" t="s">
        <v>746</v>
      </c>
      <c r="K1258" s="328" t="s">
        <v>3209</v>
      </c>
      <c r="L1258" s="328" t="s">
        <v>3210</v>
      </c>
      <c r="M1258" s="328" t="s">
        <v>83</v>
      </c>
      <c r="N1258" s="328" t="s">
        <v>33</v>
      </c>
    </row>
    <row r="1259" spans="2:14" ht="13">
      <c r="B1259" s="321" t="s">
        <v>8808</v>
      </c>
      <c r="C1259" s="328" t="s">
        <v>6185</v>
      </c>
      <c r="D1259" s="328" t="s">
        <v>8809</v>
      </c>
      <c r="E1259" s="38" t="s">
        <v>8810</v>
      </c>
      <c r="F1259" s="327"/>
      <c r="G1259" s="328" t="s">
        <v>32</v>
      </c>
      <c r="H1259" s="328" t="s">
        <v>33</v>
      </c>
      <c r="I1259" s="328" t="s">
        <v>8812</v>
      </c>
      <c r="J1259" s="328" t="s">
        <v>48</v>
      </c>
      <c r="K1259" s="327"/>
      <c r="L1259" s="327"/>
      <c r="M1259" s="328" t="s">
        <v>83</v>
      </c>
      <c r="N1259" s="327"/>
    </row>
    <row r="1260" spans="2:14" ht="13">
      <c r="B1260" s="321" t="s">
        <v>507</v>
      </c>
      <c r="C1260" s="328" t="s">
        <v>508</v>
      </c>
      <c r="D1260" s="328" t="s">
        <v>87</v>
      </c>
      <c r="E1260" s="38" t="s">
        <v>509</v>
      </c>
      <c r="F1260" s="328" t="s">
        <v>511</v>
      </c>
      <c r="G1260" s="328" t="s">
        <v>32</v>
      </c>
      <c r="H1260" s="328" t="s">
        <v>33</v>
      </c>
      <c r="I1260" s="328" t="s">
        <v>512</v>
      </c>
      <c r="J1260" s="328" t="s">
        <v>48</v>
      </c>
      <c r="K1260" s="327"/>
      <c r="L1260" s="327"/>
      <c r="M1260" s="328" t="s">
        <v>83</v>
      </c>
      <c r="N1260" s="327"/>
    </row>
    <row r="1261" spans="2:14" ht="13">
      <c r="B1261" s="321" t="s">
        <v>3154</v>
      </c>
      <c r="C1261" s="328" t="s">
        <v>3155</v>
      </c>
      <c r="D1261" s="328" t="s">
        <v>2380</v>
      </c>
      <c r="E1261" s="38" t="s">
        <v>3156</v>
      </c>
      <c r="F1261" s="328" t="s">
        <v>3157</v>
      </c>
      <c r="G1261" s="328" t="s">
        <v>32</v>
      </c>
      <c r="H1261" s="328" t="s">
        <v>33</v>
      </c>
      <c r="I1261" s="328" t="s">
        <v>3158</v>
      </c>
      <c r="J1261" s="328" t="s">
        <v>48</v>
      </c>
      <c r="K1261" s="327"/>
      <c r="L1261" s="327"/>
      <c r="M1261" s="328" t="s">
        <v>67</v>
      </c>
      <c r="N1261" s="327"/>
    </row>
    <row r="1262" spans="2:14" ht="13">
      <c r="B1262" s="321" t="s">
        <v>3159</v>
      </c>
      <c r="C1262" s="328" t="s">
        <v>3155</v>
      </c>
      <c r="D1262" s="328" t="s">
        <v>2380</v>
      </c>
      <c r="E1262" s="38" t="s">
        <v>3160</v>
      </c>
      <c r="F1262" s="328" t="s">
        <v>3162</v>
      </c>
      <c r="G1262" s="328" t="s">
        <v>32</v>
      </c>
      <c r="H1262" s="328" t="s">
        <v>33</v>
      </c>
      <c r="I1262" s="328" t="s">
        <v>3163</v>
      </c>
      <c r="J1262" s="328" t="s">
        <v>48</v>
      </c>
      <c r="M1262" s="328" t="s">
        <v>83</v>
      </c>
      <c r="N1262" s="327"/>
    </row>
    <row r="1263" spans="2:14" ht="13">
      <c r="B1263" s="321" t="s">
        <v>2101</v>
      </c>
      <c r="C1263" s="328" t="s">
        <v>2102</v>
      </c>
      <c r="D1263" s="328" t="s">
        <v>2103</v>
      </c>
      <c r="E1263" s="38" t="s">
        <v>2104</v>
      </c>
      <c r="F1263" s="328" t="s">
        <v>2105</v>
      </c>
      <c r="G1263" s="328" t="s">
        <v>463</v>
      </c>
      <c r="H1263" s="328" t="s">
        <v>33</v>
      </c>
      <c r="I1263" s="328" t="s">
        <v>2106</v>
      </c>
      <c r="J1263" s="328" t="s">
        <v>48</v>
      </c>
      <c r="K1263" s="327"/>
      <c r="L1263" s="327"/>
      <c r="M1263" s="328" t="s">
        <v>67</v>
      </c>
      <c r="N1263" s="327"/>
    </row>
    <row r="1264" spans="2:14" ht="13">
      <c r="B1264" s="321" t="s">
        <v>7235</v>
      </c>
      <c r="C1264" s="328" t="s">
        <v>7236</v>
      </c>
      <c r="D1264" s="328" t="s">
        <v>7237</v>
      </c>
      <c r="E1264" s="38" t="s">
        <v>7238</v>
      </c>
      <c r="F1264" s="327"/>
      <c r="G1264" s="328" t="s">
        <v>996</v>
      </c>
      <c r="H1264" s="328" t="s">
        <v>33</v>
      </c>
      <c r="I1264" s="328" t="s">
        <v>7239</v>
      </c>
      <c r="J1264" s="328" t="s">
        <v>48</v>
      </c>
      <c r="K1264" s="328" t="s">
        <v>7240</v>
      </c>
      <c r="L1264" s="328" t="s">
        <v>7241</v>
      </c>
      <c r="M1264" s="328" t="s">
        <v>83</v>
      </c>
      <c r="N1264" s="328" t="s">
        <v>68</v>
      </c>
    </row>
    <row r="1265" spans="2:14" ht="13">
      <c r="B1265" s="321" t="s">
        <v>2333</v>
      </c>
      <c r="C1265" s="328" t="s">
        <v>2334</v>
      </c>
      <c r="D1265" s="328" t="s">
        <v>2335</v>
      </c>
      <c r="E1265" s="38" t="s">
        <v>2336</v>
      </c>
      <c r="F1265" s="328" t="s">
        <v>2340</v>
      </c>
      <c r="G1265" s="328" t="s">
        <v>363</v>
      </c>
      <c r="H1265" s="328" t="s">
        <v>33</v>
      </c>
      <c r="I1265" s="328" t="s">
        <v>662</v>
      </c>
      <c r="J1265" s="328" t="s">
        <v>35</v>
      </c>
      <c r="K1265" s="328" t="s">
        <v>2341</v>
      </c>
      <c r="M1265" s="328" t="s">
        <v>83</v>
      </c>
      <c r="N1265" s="328" t="s">
        <v>2215</v>
      </c>
    </row>
    <row r="1266" spans="2:14" ht="13">
      <c r="B1266" s="321" t="s">
        <v>4428</v>
      </c>
      <c r="C1266" s="328" t="s">
        <v>4429</v>
      </c>
      <c r="D1266" s="328" t="s">
        <v>4430</v>
      </c>
      <c r="E1266" s="38" t="s">
        <v>4431</v>
      </c>
      <c r="F1266" s="328" t="s">
        <v>4433</v>
      </c>
      <c r="G1266" s="328" t="s">
        <v>4434</v>
      </c>
      <c r="H1266" s="328" t="s">
        <v>33</v>
      </c>
      <c r="I1266" s="328" t="s">
        <v>4435</v>
      </c>
      <c r="J1266" s="328" t="s">
        <v>35</v>
      </c>
      <c r="K1266" s="328" t="s">
        <v>4436</v>
      </c>
      <c r="L1266" s="328" t="s">
        <v>4437</v>
      </c>
      <c r="M1266" s="328" t="s">
        <v>83</v>
      </c>
      <c r="N1266" s="328" t="s">
        <v>4438</v>
      </c>
    </row>
    <row r="1267" spans="2:14" ht="13">
      <c r="B1267" s="321" t="s">
        <v>6220</v>
      </c>
      <c r="C1267" s="328" t="s">
        <v>6221</v>
      </c>
      <c r="D1267" s="328" t="s">
        <v>6222</v>
      </c>
      <c r="E1267" s="38" t="s">
        <v>6224</v>
      </c>
      <c r="F1267" s="328" t="s">
        <v>6225</v>
      </c>
      <c r="G1267" s="328" t="s">
        <v>296</v>
      </c>
      <c r="H1267" s="328" t="s">
        <v>33</v>
      </c>
      <c r="I1267" s="328" t="s">
        <v>6226</v>
      </c>
      <c r="J1267" s="328" t="s">
        <v>48</v>
      </c>
      <c r="K1267" s="327"/>
      <c r="L1267" s="327"/>
      <c r="M1267" s="328" t="s">
        <v>83</v>
      </c>
      <c r="N1267" s="327"/>
    </row>
    <row r="1268" spans="2:14" ht="13">
      <c r="B1268" s="321" t="s">
        <v>3771</v>
      </c>
      <c r="C1268" s="328" t="s">
        <v>748</v>
      </c>
      <c r="D1268" s="328" t="s">
        <v>3772</v>
      </c>
      <c r="E1268" s="38" t="s">
        <v>3773</v>
      </c>
      <c r="F1268" s="328" t="s">
        <v>3774</v>
      </c>
      <c r="G1268" s="328" t="s">
        <v>322</v>
      </c>
      <c r="H1268" s="328" t="s">
        <v>33</v>
      </c>
      <c r="I1268" s="328" t="s">
        <v>3775</v>
      </c>
      <c r="J1268" s="328" t="s">
        <v>48</v>
      </c>
      <c r="K1268" s="328" t="s">
        <v>3776</v>
      </c>
      <c r="L1268" s="328" t="s">
        <v>3777</v>
      </c>
      <c r="M1268" s="328" t="s">
        <v>67</v>
      </c>
      <c r="N1268" s="328" t="s">
        <v>3778</v>
      </c>
    </row>
    <row r="1269" spans="2:14" ht="13">
      <c r="B1269" s="321" t="s">
        <v>4738</v>
      </c>
      <c r="C1269" s="328" t="s">
        <v>4740</v>
      </c>
      <c r="D1269" s="328" t="s">
        <v>4741</v>
      </c>
      <c r="E1269" s="328" t="s">
        <v>4738</v>
      </c>
      <c r="F1269" s="328" t="s">
        <v>4742</v>
      </c>
      <c r="G1269" s="328" t="s">
        <v>519</v>
      </c>
      <c r="H1269" s="328" t="s">
        <v>33</v>
      </c>
      <c r="I1269" s="328" t="s">
        <v>4743</v>
      </c>
      <c r="J1269" s="328" t="s">
        <v>48</v>
      </c>
      <c r="M1269" s="328" t="s">
        <v>67</v>
      </c>
      <c r="N1269" s="327"/>
    </row>
    <row r="1270" spans="2:14" ht="13">
      <c r="B1270" s="321" t="s">
        <v>9011</v>
      </c>
      <c r="C1270" s="328" t="s">
        <v>4740</v>
      </c>
      <c r="D1270" s="328" t="s">
        <v>9012</v>
      </c>
      <c r="E1270" s="38" t="s">
        <v>9013</v>
      </c>
      <c r="G1270" s="328" t="s">
        <v>1349</v>
      </c>
      <c r="H1270" s="328" t="s">
        <v>33</v>
      </c>
      <c r="I1270" s="328" t="s">
        <v>3551</v>
      </c>
      <c r="J1270" s="328" t="s">
        <v>35</v>
      </c>
      <c r="K1270" s="328" t="s">
        <v>9014</v>
      </c>
      <c r="L1270" s="328" t="s">
        <v>9015</v>
      </c>
      <c r="M1270" s="328" t="s">
        <v>83</v>
      </c>
      <c r="N1270" s="328" t="s">
        <v>9016</v>
      </c>
    </row>
    <row r="1271" spans="2:14" ht="13">
      <c r="B1271" s="321" t="s">
        <v>9011</v>
      </c>
      <c r="C1271" s="328" t="s">
        <v>4740</v>
      </c>
      <c r="D1271" s="328" t="s">
        <v>9012</v>
      </c>
      <c r="E1271" s="38" t="s">
        <v>9013</v>
      </c>
      <c r="F1271" s="327"/>
      <c r="G1271" s="328" t="s">
        <v>1349</v>
      </c>
      <c r="H1271" s="328" t="s">
        <v>33</v>
      </c>
      <c r="I1271" s="328" t="s">
        <v>3551</v>
      </c>
      <c r="J1271" s="328" t="s">
        <v>35</v>
      </c>
      <c r="K1271" s="328" t="s">
        <v>9014</v>
      </c>
      <c r="L1271" s="328" t="s">
        <v>9015</v>
      </c>
      <c r="M1271" s="328" t="s">
        <v>83</v>
      </c>
      <c r="N1271" s="328" t="s">
        <v>9016</v>
      </c>
    </row>
    <row r="1272" spans="2:14" ht="13">
      <c r="B1272" s="328" t="s">
        <v>5131</v>
      </c>
      <c r="C1272" s="328" t="s">
        <v>5132</v>
      </c>
      <c r="D1272" s="328" t="s">
        <v>5063</v>
      </c>
      <c r="E1272" s="38" t="s">
        <v>5133</v>
      </c>
      <c r="F1272" s="328" t="s">
        <v>5134</v>
      </c>
      <c r="G1272" s="328" t="s">
        <v>2682</v>
      </c>
      <c r="H1272" s="328" t="s">
        <v>33</v>
      </c>
      <c r="I1272" s="328" t="s">
        <v>5135</v>
      </c>
      <c r="J1272" s="328" t="s">
        <v>48</v>
      </c>
      <c r="K1272" s="328" t="s">
        <v>5136</v>
      </c>
      <c r="L1272" s="328" t="s">
        <v>5137</v>
      </c>
      <c r="M1272" s="328" t="s">
        <v>83</v>
      </c>
      <c r="N1272" s="327"/>
    </row>
    <row r="1273" spans="2:14" ht="13">
      <c r="B1273" s="321" t="s">
        <v>5224</v>
      </c>
      <c r="C1273" s="328" t="s">
        <v>5225</v>
      </c>
      <c r="D1273" s="328" t="s">
        <v>5063</v>
      </c>
      <c r="E1273" s="38" t="s">
        <v>5226</v>
      </c>
      <c r="F1273" s="328" t="s">
        <v>5232</v>
      </c>
      <c r="G1273" s="328" t="s">
        <v>220</v>
      </c>
      <c r="H1273" s="328" t="s">
        <v>33</v>
      </c>
      <c r="I1273" s="328" t="s">
        <v>5233</v>
      </c>
      <c r="J1273" s="328" t="s">
        <v>35</v>
      </c>
      <c r="K1273" s="328" t="s">
        <v>5234</v>
      </c>
      <c r="L1273" s="328" t="s">
        <v>5235</v>
      </c>
      <c r="M1273" s="328" t="s">
        <v>83</v>
      </c>
      <c r="N1273" s="327"/>
    </row>
    <row r="1274" spans="2:14" ht="13">
      <c r="B1274" s="321" t="s">
        <v>7703</v>
      </c>
      <c r="C1274" s="328" t="s">
        <v>1420</v>
      </c>
      <c r="D1274" s="328" t="s">
        <v>1153</v>
      </c>
      <c r="E1274" s="328" t="s">
        <v>7703</v>
      </c>
      <c r="F1274" s="327"/>
      <c r="G1274" s="328" t="s">
        <v>161</v>
      </c>
      <c r="H1274" s="328" t="s">
        <v>33</v>
      </c>
      <c r="I1274" s="328" t="s">
        <v>7706</v>
      </c>
      <c r="J1274" s="328" t="s">
        <v>48</v>
      </c>
      <c r="K1274" s="328" t="s">
        <v>7707</v>
      </c>
      <c r="L1274" s="327"/>
      <c r="M1274" s="328" t="s">
        <v>83</v>
      </c>
      <c r="N1274" s="327"/>
    </row>
  </sheetData>
  <autoFilter ref="B4:N1274" xr:uid="{00000000-0009-0000-0000-000001000000}">
    <filterColumn colId="6">
      <filters>
        <filter val="Indonesia"/>
      </filters>
    </filterColumn>
    <sortState ref="B5:N1274">
      <sortCondition descending="1" ref="C4:C1274"/>
    </sortState>
  </autoFilter>
  <hyperlinks>
    <hyperlink ref="E8" r:id="rId1" xr:uid="{00000000-0004-0000-0100-000000000000}"/>
    <hyperlink ref="E6" r:id="rId2" xr:uid="{00000000-0004-0000-0100-000001000000}"/>
    <hyperlink ref="E7" r:id="rId3" xr:uid="{00000000-0004-0000-0100-000002000000}"/>
    <hyperlink ref="E685" r:id="rId4" xr:uid="{00000000-0004-0000-0100-000003000000}"/>
    <hyperlink ref="E9" r:id="rId5" xr:uid="{00000000-0004-0000-0100-000004000000}"/>
    <hyperlink ref="E10" r:id="rId6" xr:uid="{00000000-0004-0000-0100-000005000000}"/>
    <hyperlink ref="E11" r:id="rId7" xr:uid="{00000000-0004-0000-0100-000006000000}"/>
    <hyperlink ref="E12" r:id="rId8" xr:uid="{00000000-0004-0000-0100-000007000000}"/>
    <hyperlink ref="E13" r:id="rId9" xr:uid="{00000000-0004-0000-0100-000008000000}"/>
    <hyperlink ref="E14" r:id="rId10" xr:uid="{00000000-0004-0000-0100-000009000000}"/>
    <hyperlink ref="E15" r:id="rId11" xr:uid="{00000000-0004-0000-0100-00000A000000}"/>
    <hyperlink ref="E16" r:id="rId12" xr:uid="{00000000-0004-0000-0100-00000B000000}"/>
    <hyperlink ref="E17" r:id="rId13" xr:uid="{00000000-0004-0000-0100-00000C000000}"/>
    <hyperlink ref="D18" r:id="rId14" xr:uid="{00000000-0004-0000-0100-00000D000000}"/>
    <hyperlink ref="E18" r:id="rId15" xr:uid="{00000000-0004-0000-0100-00000E000000}"/>
    <hyperlink ref="E19" r:id="rId16" xr:uid="{00000000-0004-0000-0100-00000F000000}"/>
    <hyperlink ref="E20" r:id="rId17" xr:uid="{00000000-0004-0000-0100-000010000000}"/>
    <hyperlink ref="E1207" r:id="rId18" xr:uid="{00000000-0004-0000-0100-000011000000}"/>
    <hyperlink ref="E22" r:id="rId19" xr:uid="{00000000-0004-0000-0100-000012000000}"/>
    <hyperlink ref="E23" r:id="rId20" xr:uid="{00000000-0004-0000-0100-000013000000}"/>
    <hyperlink ref="E24" r:id="rId21" xr:uid="{00000000-0004-0000-0100-000014000000}"/>
    <hyperlink ref="E25" r:id="rId22" xr:uid="{00000000-0004-0000-0100-000015000000}"/>
    <hyperlink ref="E26" r:id="rId23" xr:uid="{00000000-0004-0000-0100-000016000000}"/>
    <hyperlink ref="E27" r:id="rId24" xr:uid="{00000000-0004-0000-0100-000017000000}"/>
    <hyperlink ref="E28" r:id="rId25" xr:uid="{00000000-0004-0000-0100-000018000000}"/>
    <hyperlink ref="E29" r:id="rId26" xr:uid="{00000000-0004-0000-0100-000019000000}"/>
    <hyperlink ref="E30" r:id="rId27" xr:uid="{00000000-0004-0000-0100-00001A000000}"/>
    <hyperlink ref="E601" r:id="rId28" xr:uid="{00000000-0004-0000-0100-00001B000000}"/>
    <hyperlink ref="E32" r:id="rId29" xr:uid="{00000000-0004-0000-0100-00001C000000}"/>
    <hyperlink ref="E33" r:id="rId30" xr:uid="{00000000-0004-0000-0100-00001D000000}"/>
    <hyperlink ref="E34" r:id="rId31" xr:uid="{00000000-0004-0000-0100-00001E000000}"/>
    <hyperlink ref="E35" r:id="rId32" xr:uid="{00000000-0004-0000-0100-00001F000000}"/>
    <hyperlink ref="E36" r:id="rId33" xr:uid="{00000000-0004-0000-0100-000020000000}"/>
    <hyperlink ref="E37" r:id="rId34" xr:uid="{00000000-0004-0000-0100-000021000000}"/>
    <hyperlink ref="E38" r:id="rId35" xr:uid="{00000000-0004-0000-0100-000022000000}"/>
    <hyperlink ref="E39" r:id="rId36" xr:uid="{00000000-0004-0000-0100-000023000000}"/>
    <hyperlink ref="E40" r:id="rId37" xr:uid="{00000000-0004-0000-0100-000024000000}"/>
    <hyperlink ref="E41" r:id="rId38" xr:uid="{00000000-0004-0000-0100-000025000000}"/>
    <hyperlink ref="E42" r:id="rId39" xr:uid="{00000000-0004-0000-0100-000026000000}"/>
    <hyperlink ref="E43" r:id="rId40" xr:uid="{00000000-0004-0000-0100-000027000000}"/>
    <hyperlink ref="E44" r:id="rId41" xr:uid="{00000000-0004-0000-0100-000028000000}"/>
    <hyperlink ref="E1260" r:id="rId42" xr:uid="{00000000-0004-0000-0100-000029000000}"/>
    <hyperlink ref="E588" r:id="rId43" xr:uid="{00000000-0004-0000-0100-00002A000000}"/>
    <hyperlink ref="E47" r:id="rId44" xr:uid="{00000000-0004-0000-0100-00002B000000}"/>
    <hyperlink ref="L47" r:id="rId45" xr:uid="{00000000-0004-0000-0100-00002C000000}"/>
    <hyperlink ref="E48" r:id="rId46" xr:uid="{00000000-0004-0000-0100-00002D000000}"/>
    <hyperlink ref="E49" r:id="rId47" xr:uid="{00000000-0004-0000-0100-00002E000000}"/>
    <hyperlink ref="E770" r:id="rId48" xr:uid="{00000000-0004-0000-0100-00002F000000}"/>
    <hyperlink ref="E51" r:id="rId49" xr:uid="{00000000-0004-0000-0100-000030000000}"/>
    <hyperlink ref="E52" r:id="rId50" xr:uid="{00000000-0004-0000-0100-000031000000}"/>
    <hyperlink ref="E53" r:id="rId51" xr:uid="{00000000-0004-0000-0100-000032000000}"/>
    <hyperlink ref="D54" r:id="rId52" xr:uid="{00000000-0004-0000-0100-000033000000}"/>
    <hyperlink ref="E54" r:id="rId53" xr:uid="{00000000-0004-0000-0100-000034000000}"/>
    <hyperlink ref="E55" r:id="rId54" xr:uid="{00000000-0004-0000-0100-000035000000}"/>
    <hyperlink ref="E56" r:id="rId55" xr:uid="{00000000-0004-0000-0100-000036000000}"/>
    <hyperlink ref="D57" r:id="rId56" xr:uid="{00000000-0004-0000-0100-000037000000}"/>
    <hyperlink ref="E57" r:id="rId57" xr:uid="{00000000-0004-0000-0100-000038000000}"/>
    <hyperlink ref="I57" r:id="rId58" xr:uid="{00000000-0004-0000-0100-000039000000}"/>
    <hyperlink ref="E58" r:id="rId59" xr:uid="{00000000-0004-0000-0100-00003A000000}"/>
    <hyperlink ref="E59" r:id="rId60" xr:uid="{00000000-0004-0000-0100-00003B000000}"/>
    <hyperlink ref="E60" r:id="rId61" xr:uid="{00000000-0004-0000-0100-00003C000000}"/>
    <hyperlink ref="E61" r:id="rId62" xr:uid="{00000000-0004-0000-0100-00003D000000}"/>
    <hyperlink ref="E62" r:id="rId63" xr:uid="{00000000-0004-0000-0100-00003E000000}"/>
    <hyperlink ref="E63" r:id="rId64" xr:uid="{00000000-0004-0000-0100-00003F000000}"/>
    <hyperlink ref="D64" r:id="rId65" xr:uid="{00000000-0004-0000-0100-000040000000}"/>
    <hyperlink ref="E64" r:id="rId66" xr:uid="{00000000-0004-0000-0100-000041000000}"/>
    <hyperlink ref="E65" r:id="rId67" xr:uid="{00000000-0004-0000-0100-000042000000}"/>
    <hyperlink ref="E66" r:id="rId68" xr:uid="{00000000-0004-0000-0100-000043000000}"/>
    <hyperlink ref="E67" r:id="rId69" xr:uid="{00000000-0004-0000-0100-000044000000}"/>
    <hyperlink ref="E68" r:id="rId70" xr:uid="{00000000-0004-0000-0100-000045000000}"/>
    <hyperlink ref="E603" r:id="rId71" xr:uid="{00000000-0004-0000-0100-000046000000}"/>
    <hyperlink ref="E1237" r:id="rId72" xr:uid="{00000000-0004-0000-0100-000047000000}"/>
    <hyperlink ref="E71" r:id="rId73" xr:uid="{00000000-0004-0000-0100-000048000000}"/>
    <hyperlink ref="E72" r:id="rId74" xr:uid="{00000000-0004-0000-0100-000049000000}"/>
    <hyperlink ref="E73" r:id="rId75" xr:uid="{00000000-0004-0000-0100-00004A000000}"/>
    <hyperlink ref="E215" r:id="rId76" xr:uid="{00000000-0004-0000-0100-00004B000000}"/>
    <hyperlink ref="E75" r:id="rId77" xr:uid="{00000000-0004-0000-0100-00004C000000}"/>
    <hyperlink ref="E76" r:id="rId78" xr:uid="{00000000-0004-0000-0100-00004D000000}"/>
    <hyperlink ref="E1052" r:id="rId79" xr:uid="{00000000-0004-0000-0100-00004E000000}"/>
    <hyperlink ref="E78" r:id="rId80" xr:uid="{00000000-0004-0000-0100-00004F000000}"/>
    <hyperlink ref="E79" r:id="rId81" xr:uid="{00000000-0004-0000-0100-000050000000}"/>
    <hyperlink ref="E80" r:id="rId82" xr:uid="{00000000-0004-0000-0100-000051000000}"/>
    <hyperlink ref="E81" r:id="rId83" xr:uid="{00000000-0004-0000-0100-000052000000}"/>
    <hyperlink ref="E82" r:id="rId84" xr:uid="{00000000-0004-0000-0100-000053000000}"/>
    <hyperlink ref="E660" r:id="rId85" xr:uid="{00000000-0004-0000-0100-000054000000}"/>
    <hyperlink ref="D84" r:id="rId86" xr:uid="{00000000-0004-0000-0100-000055000000}"/>
    <hyperlink ref="E84" r:id="rId87" xr:uid="{00000000-0004-0000-0100-000056000000}"/>
    <hyperlink ref="E963" r:id="rId88" xr:uid="{00000000-0004-0000-0100-000057000000}"/>
    <hyperlink ref="E86" r:id="rId89" xr:uid="{00000000-0004-0000-0100-000058000000}"/>
    <hyperlink ref="E87" r:id="rId90" xr:uid="{00000000-0004-0000-0100-000059000000}"/>
    <hyperlink ref="E924" r:id="rId91" xr:uid="{00000000-0004-0000-0100-00005A000000}"/>
    <hyperlink ref="E89" r:id="rId92" xr:uid="{00000000-0004-0000-0100-00005B000000}"/>
    <hyperlink ref="E90" r:id="rId93" xr:uid="{00000000-0004-0000-0100-00005C000000}"/>
    <hyperlink ref="E365" r:id="rId94" xr:uid="{00000000-0004-0000-0100-00005D000000}"/>
    <hyperlink ref="E92" r:id="rId95" xr:uid="{00000000-0004-0000-0100-00005E000000}"/>
    <hyperlink ref="E93" r:id="rId96" xr:uid="{00000000-0004-0000-0100-00005F000000}"/>
    <hyperlink ref="E95" r:id="rId97" xr:uid="{00000000-0004-0000-0100-000060000000}"/>
    <hyperlink ref="K95" r:id="rId98" xr:uid="{00000000-0004-0000-0100-000061000000}"/>
    <hyperlink ref="E239" r:id="rId99" xr:uid="{00000000-0004-0000-0100-000062000000}"/>
    <hyperlink ref="E97" r:id="rId100" xr:uid="{00000000-0004-0000-0100-000063000000}"/>
    <hyperlink ref="E98" r:id="rId101" xr:uid="{00000000-0004-0000-0100-000064000000}"/>
    <hyperlink ref="E99" r:id="rId102" xr:uid="{00000000-0004-0000-0100-000065000000}"/>
    <hyperlink ref="E802" r:id="rId103" xr:uid="{00000000-0004-0000-0100-000066000000}"/>
    <hyperlink ref="E766" r:id="rId104" xr:uid="{00000000-0004-0000-0100-000067000000}"/>
    <hyperlink ref="E102" r:id="rId105" xr:uid="{00000000-0004-0000-0100-000068000000}"/>
    <hyperlink ref="E103" r:id="rId106" xr:uid="{00000000-0004-0000-0100-000069000000}"/>
    <hyperlink ref="E104" r:id="rId107" xr:uid="{00000000-0004-0000-0100-00006A000000}"/>
    <hyperlink ref="E105" r:id="rId108" xr:uid="{00000000-0004-0000-0100-00006B000000}"/>
    <hyperlink ref="E106" r:id="rId109" xr:uid="{00000000-0004-0000-0100-00006C000000}"/>
    <hyperlink ref="E496" r:id="rId110" xr:uid="{00000000-0004-0000-0100-00006D000000}"/>
    <hyperlink ref="E110" r:id="rId111" xr:uid="{00000000-0004-0000-0100-00006E000000}"/>
    <hyperlink ref="E111" r:id="rId112" xr:uid="{00000000-0004-0000-0100-00006F000000}"/>
    <hyperlink ref="E101" r:id="rId113" xr:uid="{00000000-0004-0000-0100-000070000000}"/>
    <hyperlink ref="E113" r:id="rId114" xr:uid="{00000000-0004-0000-0100-000071000000}"/>
    <hyperlink ref="E1094" r:id="rId115" xr:uid="{00000000-0004-0000-0100-000072000000}"/>
    <hyperlink ref="E115" r:id="rId116" xr:uid="{00000000-0004-0000-0100-000073000000}"/>
    <hyperlink ref="E116" r:id="rId117" xr:uid="{00000000-0004-0000-0100-000074000000}"/>
    <hyperlink ref="E117" r:id="rId118" xr:uid="{00000000-0004-0000-0100-000075000000}"/>
    <hyperlink ref="E118" r:id="rId119" xr:uid="{00000000-0004-0000-0100-000076000000}"/>
    <hyperlink ref="E119" r:id="rId120" xr:uid="{00000000-0004-0000-0100-000077000000}"/>
    <hyperlink ref="D245" r:id="rId121" xr:uid="{00000000-0004-0000-0100-000078000000}"/>
    <hyperlink ref="E245" r:id="rId122" xr:uid="{00000000-0004-0000-0100-000079000000}"/>
    <hyperlink ref="E121" r:id="rId123" xr:uid="{00000000-0004-0000-0100-00007A000000}"/>
    <hyperlink ref="E122" r:id="rId124" xr:uid="{00000000-0004-0000-0100-00007B000000}"/>
    <hyperlink ref="E123" r:id="rId125" xr:uid="{00000000-0004-0000-0100-00007C000000}"/>
    <hyperlink ref="E427" r:id="rId126" xr:uid="{00000000-0004-0000-0100-00007D000000}"/>
    <hyperlink ref="D246" r:id="rId127" xr:uid="{00000000-0004-0000-0100-00007E000000}"/>
    <hyperlink ref="E246" r:id="rId128" xr:uid="{00000000-0004-0000-0100-00007F000000}"/>
    <hyperlink ref="E127" r:id="rId129" xr:uid="{00000000-0004-0000-0100-000080000000}"/>
    <hyperlink ref="D499" r:id="rId130" xr:uid="{00000000-0004-0000-0100-000081000000}"/>
    <hyperlink ref="E499" r:id="rId131" xr:uid="{00000000-0004-0000-0100-000082000000}"/>
    <hyperlink ref="E143" r:id="rId132" xr:uid="{00000000-0004-0000-0100-000083000000}"/>
    <hyperlink ref="D130" r:id="rId133" xr:uid="{00000000-0004-0000-0100-000084000000}"/>
    <hyperlink ref="E130" r:id="rId134" xr:uid="{00000000-0004-0000-0100-000085000000}"/>
    <hyperlink ref="E191" r:id="rId135" xr:uid="{00000000-0004-0000-0100-000086000000}"/>
    <hyperlink ref="E578" r:id="rId136" xr:uid="{00000000-0004-0000-0100-000087000000}"/>
    <hyperlink ref="E524" r:id="rId137" xr:uid="{00000000-0004-0000-0100-000088000000}"/>
    <hyperlink ref="E135" r:id="rId138" xr:uid="{00000000-0004-0000-0100-000089000000}"/>
    <hyperlink ref="E136" r:id="rId139" xr:uid="{00000000-0004-0000-0100-00008A000000}"/>
    <hyperlink ref="E137" r:id="rId140" xr:uid="{00000000-0004-0000-0100-00008B000000}"/>
    <hyperlink ref="E139" r:id="rId141" xr:uid="{00000000-0004-0000-0100-00008C000000}"/>
    <hyperlink ref="E1103" r:id="rId142" xr:uid="{00000000-0004-0000-0100-00008D000000}"/>
    <hyperlink ref="E141" r:id="rId143" xr:uid="{00000000-0004-0000-0100-00008E000000}"/>
    <hyperlink ref="E142" r:id="rId144" xr:uid="{00000000-0004-0000-0100-00008F000000}"/>
    <hyperlink ref="E175" r:id="rId145" xr:uid="{00000000-0004-0000-0100-000090000000}"/>
    <hyperlink ref="D542" r:id="rId146" xr:uid="{00000000-0004-0000-0100-000091000000}"/>
    <hyperlink ref="E146" r:id="rId147" xr:uid="{00000000-0004-0000-0100-000092000000}"/>
    <hyperlink ref="E147" r:id="rId148" xr:uid="{00000000-0004-0000-0100-000093000000}"/>
    <hyperlink ref="E148" r:id="rId149" xr:uid="{00000000-0004-0000-0100-000094000000}"/>
    <hyperlink ref="E927" r:id="rId150" xr:uid="{00000000-0004-0000-0100-000095000000}"/>
    <hyperlink ref="E704" r:id="rId151" xr:uid="{00000000-0004-0000-0100-000096000000}"/>
    <hyperlink ref="E151" r:id="rId152" xr:uid="{00000000-0004-0000-0100-000097000000}"/>
    <hyperlink ref="E152" r:id="rId153" xr:uid="{00000000-0004-0000-0100-000098000000}"/>
    <hyperlink ref="E154" r:id="rId154" xr:uid="{00000000-0004-0000-0100-000099000000}"/>
    <hyperlink ref="E96" r:id="rId155" xr:uid="{00000000-0004-0000-0100-00009A000000}"/>
    <hyperlink ref="E898" r:id="rId156" xr:uid="{00000000-0004-0000-0100-00009B000000}"/>
    <hyperlink ref="E157" r:id="rId157" xr:uid="{00000000-0004-0000-0100-00009C000000}"/>
    <hyperlink ref="E159" r:id="rId158" xr:uid="{00000000-0004-0000-0100-00009D000000}"/>
    <hyperlink ref="E160" r:id="rId159" xr:uid="{00000000-0004-0000-0100-00009E000000}"/>
    <hyperlink ref="E163" r:id="rId160" xr:uid="{00000000-0004-0000-0100-00009F000000}"/>
    <hyperlink ref="E164" r:id="rId161" xr:uid="{00000000-0004-0000-0100-0000A0000000}"/>
    <hyperlink ref="E165" r:id="rId162" xr:uid="{00000000-0004-0000-0100-0000A1000000}"/>
    <hyperlink ref="E166" r:id="rId163" xr:uid="{00000000-0004-0000-0100-0000A2000000}"/>
    <hyperlink ref="E1140" r:id="rId164" xr:uid="{00000000-0004-0000-0100-0000A3000000}"/>
    <hyperlink ref="E168" r:id="rId165" xr:uid="{00000000-0004-0000-0100-0000A4000000}"/>
    <hyperlink ref="D169" r:id="rId166" xr:uid="{00000000-0004-0000-0100-0000A5000000}"/>
    <hyperlink ref="E169" r:id="rId167" xr:uid="{00000000-0004-0000-0100-0000A6000000}"/>
    <hyperlink ref="E259" r:id="rId168" xr:uid="{00000000-0004-0000-0100-0000A7000000}"/>
    <hyperlink ref="E171" r:id="rId169" xr:uid="{00000000-0004-0000-0100-0000A8000000}"/>
    <hyperlink ref="E172" r:id="rId170" xr:uid="{00000000-0004-0000-0100-0000A9000000}"/>
    <hyperlink ref="E836" r:id="rId171" xr:uid="{00000000-0004-0000-0100-0000AA000000}"/>
    <hyperlink ref="E895" r:id="rId172" xr:uid="{00000000-0004-0000-0100-0000AB000000}"/>
    <hyperlink ref="E183" r:id="rId173" xr:uid="{00000000-0004-0000-0100-0000AC000000}"/>
    <hyperlink ref="E120" r:id="rId174" xr:uid="{00000000-0004-0000-0100-0000AD000000}"/>
    <hyperlink ref="E178" r:id="rId175" xr:uid="{00000000-0004-0000-0100-0000AE000000}"/>
    <hyperlink ref="E179" r:id="rId176" xr:uid="{00000000-0004-0000-0100-0000AF000000}"/>
    <hyperlink ref="E859" r:id="rId177" xr:uid="{00000000-0004-0000-0100-0000B0000000}"/>
    <hyperlink ref="E181" r:id="rId178" xr:uid="{00000000-0004-0000-0100-0000B1000000}"/>
    <hyperlink ref="E293" r:id="rId179" xr:uid="{00000000-0004-0000-0100-0000B2000000}"/>
    <hyperlink ref="E352" r:id="rId180" xr:uid="{00000000-0004-0000-0100-0000B3000000}"/>
    <hyperlink ref="E184" r:id="rId181" xr:uid="{00000000-0004-0000-0100-0000B4000000}"/>
    <hyperlink ref="E185" r:id="rId182" xr:uid="{00000000-0004-0000-0100-0000B5000000}"/>
    <hyperlink ref="E1158" r:id="rId183" xr:uid="{00000000-0004-0000-0100-0000B6000000}"/>
    <hyperlink ref="E187" r:id="rId184" xr:uid="{00000000-0004-0000-0100-0000B7000000}"/>
    <hyperlink ref="E188" r:id="rId185" xr:uid="{00000000-0004-0000-0100-0000B8000000}"/>
    <hyperlink ref="E190" r:id="rId186" xr:uid="{00000000-0004-0000-0100-0000B9000000}"/>
    <hyperlink ref="E777" r:id="rId187" xr:uid="{00000000-0004-0000-0100-0000BA000000}"/>
    <hyperlink ref="E769" r:id="rId188" xr:uid="{00000000-0004-0000-0100-0000BB000000}"/>
    <hyperlink ref="E623" r:id="rId189" xr:uid="{00000000-0004-0000-0100-0000BC000000}"/>
    <hyperlink ref="E449" r:id="rId190" xr:uid="{00000000-0004-0000-0100-0000BD000000}"/>
    <hyperlink ref="E94" r:id="rId191" xr:uid="{00000000-0004-0000-0100-0000BE000000}"/>
    <hyperlink ref="E196" r:id="rId192" xr:uid="{00000000-0004-0000-0100-0000BF000000}"/>
    <hyperlink ref="E539" r:id="rId193" xr:uid="{00000000-0004-0000-0100-0000C0000000}"/>
    <hyperlink ref="E903" r:id="rId194" xr:uid="{00000000-0004-0000-0100-0000C1000000}"/>
    <hyperlink ref="E199" r:id="rId195" xr:uid="{00000000-0004-0000-0100-0000C2000000}"/>
    <hyperlink ref="E904" r:id="rId196" xr:uid="{00000000-0004-0000-0100-0000C3000000}"/>
    <hyperlink ref="E1032" r:id="rId197" xr:uid="{00000000-0004-0000-0100-0000C4000000}"/>
    <hyperlink ref="E530" r:id="rId198" xr:uid="{00000000-0004-0000-0100-0000C5000000}"/>
    <hyperlink ref="E203" r:id="rId199" xr:uid="{00000000-0004-0000-0100-0000C6000000}"/>
    <hyperlink ref="E204" r:id="rId200" xr:uid="{00000000-0004-0000-0100-0000C7000000}"/>
    <hyperlink ref="E205" r:id="rId201" xr:uid="{00000000-0004-0000-0100-0000C8000000}"/>
    <hyperlink ref="E206" r:id="rId202" xr:uid="{00000000-0004-0000-0100-0000C9000000}"/>
    <hyperlink ref="E409" r:id="rId203" xr:uid="{00000000-0004-0000-0100-0000CA000000}"/>
    <hyperlink ref="E208" r:id="rId204" xr:uid="{00000000-0004-0000-0100-0000CB000000}"/>
    <hyperlink ref="E209" r:id="rId205" xr:uid="{00000000-0004-0000-0100-0000CC000000}"/>
    <hyperlink ref="D1208" r:id="rId206" xr:uid="{00000000-0004-0000-0100-0000CD000000}"/>
    <hyperlink ref="E1208" r:id="rId207" xr:uid="{00000000-0004-0000-0100-0000CE000000}"/>
    <hyperlink ref="E211" r:id="rId208" xr:uid="{00000000-0004-0000-0100-0000CF000000}"/>
    <hyperlink ref="E995" r:id="rId209" xr:uid="{00000000-0004-0000-0100-0000D0000000}"/>
    <hyperlink ref="E213" r:id="rId210" xr:uid="{00000000-0004-0000-0100-0000D1000000}"/>
    <hyperlink ref="E335" r:id="rId211" xr:uid="{00000000-0004-0000-0100-0000D2000000}"/>
    <hyperlink ref="E1263" r:id="rId212" xr:uid="{00000000-0004-0000-0100-0000D3000000}"/>
    <hyperlink ref="E216" r:id="rId213" xr:uid="{00000000-0004-0000-0100-0000D4000000}"/>
    <hyperlink ref="E217" r:id="rId214" xr:uid="{00000000-0004-0000-0100-0000D5000000}"/>
    <hyperlink ref="E218" r:id="rId215" xr:uid="{00000000-0004-0000-0100-0000D6000000}"/>
    <hyperlink ref="E1100" r:id="rId216" xr:uid="{00000000-0004-0000-0100-0000D7000000}"/>
    <hyperlink ref="E220" r:id="rId217" xr:uid="{00000000-0004-0000-0100-0000D8000000}"/>
    <hyperlink ref="E221" r:id="rId218" xr:uid="{00000000-0004-0000-0100-0000D9000000}"/>
    <hyperlink ref="E222" r:id="rId219" xr:uid="{00000000-0004-0000-0100-0000DA000000}"/>
    <hyperlink ref="D1059" r:id="rId220" xr:uid="{00000000-0004-0000-0100-0000DB000000}"/>
    <hyperlink ref="E1059" r:id="rId221" xr:uid="{00000000-0004-0000-0100-0000DC000000}"/>
    <hyperlink ref="E224" r:id="rId222" xr:uid="{00000000-0004-0000-0100-0000DD000000}"/>
    <hyperlink ref="E225" r:id="rId223" xr:uid="{00000000-0004-0000-0100-0000DE000000}"/>
    <hyperlink ref="E77" r:id="rId224" xr:uid="{00000000-0004-0000-0100-0000DF000000}"/>
    <hyperlink ref="E227" r:id="rId225" xr:uid="{00000000-0004-0000-0100-0000E0000000}"/>
    <hyperlink ref="E114" r:id="rId226" xr:uid="{00000000-0004-0000-0100-0000E1000000}"/>
    <hyperlink ref="E229" r:id="rId227" xr:uid="{00000000-0004-0000-0100-0000E2000000}"/>
    <hyperlink ref="E230" r:id="rId228" xr:uid="{00000000-0004-0000-0100-0000E3000000}"/>
    <hyperlink ref="E428" r:id="rId229" xr:uid="{00000000-0004-0000-0100-0000E4000000}"/>
    <hyperlink ref="D231" r:id="rId230" xr:uid="{00000000-0004-0000-0100-0000E5000000}"/>
    <hyperlink ref="E301" r:id="rId231" xr:uid="{00000000-0004-0000-0100-0000E6000000}"/>
    <hyperlink ref="E234" r:id="rId232" xr:uid="{00000000-0004-0000-0100-0000E7000000}"/>
    <hyperlink ref="E235" r:id="rId233" xr:uid="{00000000-0004-0000-0100-0000E8000000}"/>
    <hyperlink ref="D1141" r:id="rId234" xr:uid="{00000000-0004-0000-0100-0000E9000000}"/>
    <hyperlink ref="E1141" r:id="rId235" xr:uid="{00000000-0004-0000-0100-0000EA000000}"/>
    <hyperlink ref="E237" r:id="rId236" xr:uid="{00000000-0004-0000-0100-0000EB000000}"/>
    <hyperlink ref="E238" r:id="rId237" xr:uid="{00000000-0004-0000-0100-0000EC000000}"/>
    <hyperlink ref="E476" r:id="rId238" xr:uid="{00000000-0004-0000-0100-0000ED000000}"/>
    <hyperlink ref="E240" r:id="rId239" xr:uid="{00000000-0004-0000-0100-0000EE000000}"/>
    <hyperlink ref="E665" r:id="rId240" xr:uid="{00000000-0004-0000-0100-0000EF000000}"/>
    <hyperlink ref="E1265" r:id="rId241" xr:uid="{00000000-0004-0000-0100-0000F0000000}"/>
    <hyperlink ref="E244" r:id="rId242" xr:uid="{00000000-0004-0000-0100-0000F1000000}"/>
    <hyperlink ref="E186" r:id="rId243" xr:uid="{00000000-0004-0000-0100-0000F2000000}"/>
    <hyperlink ref="E615" r:id="rId244" xr:uid="{00000000-0004-0000-0100-0000F3000000}"/>
    <hyperlink ref="E626" r:id="rId245" xr:uid="{00000000-0004-0000-0100-0000F4000000}"/>
    <hyperlink ref="E251" r:id="rId246" xr:uid="{00000000-0004-0000-0100-0000F5000000}"/>
    <hyperlink ref="E378" r:id="rId247" xr:uid="{00000000-0004-0000-0100-0000F6000000}"/>
    <hyperlink ref="E996" r:id="rId248" xr:uid="{00000000-0004-0000-0100-0000F7000000}"/>
    <hyperlink ref="E254" r:id="rId249" xr:uid="{00000000-0004-0000-0100-0000F8000000}"/>
    <hyperlink ref="E255" r:id="rId250" xr:uid="{00000000-0004-0000-0100-0000F9000000}"/>
    <hyperlink ref="E249" r:id="rId251" xr:uid="{00000000-0004-0000-0100-0000FA000000}"/>
    <hyperlink ref="E514" r:id="rId252" xr:uid="{00000000-0004-0000-0100-0000FB000000}"/>
    <hyperlink ref="E193" r:id="rId253" xr:uid="{00000000-0004-0000-0100-0000FC000000}"/>
    <hyperlink ref="D655" r:id="rId254" xr:uid="{00000000-0004-0000-0100-0000FD000000}"/>
    <hyperlink ref="E655" r:id="rId255" xr:uid="{00000000-0004-0000-0100-0000FE000000}"/>
    <hyperlink ref="E1254" r:id="rId256" xr:uid="{00000000-0004-0000-0100-0000FF000000}"/>
    <hyperlink ref="E263" r:id="rId257" xr:uid="{00000000-0004-0000-0100-000000010000}"/>
    <hyperlink ref="E1209" r:id="rId258" xr:uid="{00000000-0004-0000-0100-000001010000}"/>
    <hyperlink ref="E498" r:id="rId259" xr:uid="{00000000-0004-0000-0100-000002010000}"/>
    <hyperlink ref="E266" r:id="rId260" xr:uid="{00000000-0004-0000-0100-000003010000}"/>
    <hyperlink ref="E268" r:id="rId261" xr:uid="{00000000-0004-0000-0100-000004010000}"/>
    <hyperlink ref="E198" r:id="rId262" xr:uid="{00000000-0004-0000-0100-000005010000}"/>
    <hyperlink ref="E270" r:id="rId263" xr:uid="{00000000-0004-0000-0100-000006010000}"/>
    <hyperlink ref="E271" r:id="rId264" xr:uid="{00000000-0004-0000-0100-000007010000}"/>
    <hyperlink ref="E1068" r:id="rId265" xr:uid="{00000000-0004-0000-0100-000008010000}"/>
    <hyperlink ref="E307" r:id="rId266" xr:uid="{00000000-0004-0000-0100-000009010000}"/>
    <hyperlink ref="E274" r:id="rId267" xr:uid="{00000000-0004-0000-0100-00000A010000}"/>
    <hyperlink ref="E275" r:id="rId268" xr:uid="{00000000-0004-0000-0100-00000B010000}"/>
    <hyperlink ref="E677" r:id="rId269" xr:uid="{00000000-0004-0000-0100-00000C010000}"/>
    <hyperlink ref="E156" r:id="rId270" xr:uid="{00000000-0004-0000-0100-00000D010000}"/>
    <hyperlink ref="E458" r:id="rId271" xr:uid="{00000000-0004-0000-0100-00000E010000}"/>
    <hyperlink ref="E279" r:id="rId272" xr:uid="{00000000-0004-0000-0100-00000F010000}"/>
    <hyperlink ref="E1242" r:id="rId273" xr:uid="{00000000-0004-0000-0100-000010010000}"/>
    <hyperlink ref="E281" r:id="rId274" xr:uid="{00000000-0004-0000-0100-000011010000}"/>
    <hyperlink ref="E683" r:id="rId275" xr:uid="{00000000-0004-0000-0100-000012010000}"/>
    <hyperlink ref="E284" r:id="rId276" xr:uid="{00000000-0004-0000-0100-000013010000}"/>
    <hyperlink ref="E286" r:id="rId277" xr:uid="{00000000-0004-0000-0100-000014010000}"/>
    <hyperlink ref="E182" r:id="rId278" xr:uid="{00000000-0004-0000-0100-000015010000}"/>
    <hyperlink ref="E288" r:id="rId279" xr:uid="{00000000-0004-0000-0100-000016010000}"/>
    <hyperlink ref="E289" r:id="rId280" xr:uid="{00000000-0004-0000-0100-000017010000}"/>
    <hyperlink ref="E290" r:id="rId281" xr:uid="{00000000-0004-0000-0100-000018010000}"/>
    <hyperlink ref="E291" r:id="rId282" xr:uid="{00000000-0004-0000-0100-000019010000}"/>
    <hyperlink ref="E292" r:id="rId283" xr:uid="{00000000-0004-0000-0100-00001A010000}"/>
    <hyperlink ref="E124" r:id="rId284" xr:uid="{00000000-0004-0000-0100-00001B010000}"/>
    <hyperlink ref="E705" r:id="rId285" xr:uid="{00000000-0004-0000-0100-00001C010000}"/>
    <hyperlink ref="E295" r:id="rId286" xr:uid="{00000000-0004-0000-0100-00001D010000}"/>
    <hyperlink ref="E297" r:id="rId287" xr:uid="{00000000-0004-0000-0100-00001E010000}"/>
    <hyperlink ref="E659" r:id="rId288" xr:uid="{00000000-0004-0000-0100-00001F010000}"/>
    <hyperlink ref="E5" r:id="rId289" xr:uid="{00000000-0004-0000-0100-000020010000}"/>
    <hyperlink ref="E1067" r:id="rId290" xr:uid="{00000000-0004-0000-0100-000021010000}"/>
    <hyperlink ref="E658" r:id="rId291" xr:uid="{00000000-0004-0000-0100-000022010000}"/>
    <hyperlink ref="E302" r:id="rId292" xr:uid="{00000000-0004-0000-0100-000023010000}"/>
    <hyperlink ref="E1215" r:id="rId293" xr:uid="{00000000-0004-0000-0100-000024010000}"/>
    <hyperlink ref="E304" r:id="rId294" xr:uid="{00000000-0004-0000-0100-000025010000}"/>
    <hyperlink ref="E316" r:id="rId295" xr:uid="{00000000-0004-0000-0100-000026010000}"/>
    <hyperlink ref="E383" r:id="rId296" xr:uid="{00000000-0004-0000-0100-000027010000}"/>
    <hyperlink ref="E1046" r:id="rId297" xr:uid="{00000000-0004-0000-0100-000028010000}"/>
    <hyperlink ref="E533" r:id="rId298" xr:uid="{00000000-0004-0000-0100-000029010000}"/>
    <hyperlink ref="E390" r:id="rId299" xr:uid="{00000000-0004-0000-0100-00002A010000}"/>
    <hyperlink ref="E311" r:id="rId300" xr:uid="{00000000-0004-0000-0100-00002B010000}"/>
    <hyperlink ref="E312" r:id="rId301" xr:uid="{00000000-0004-0000-0100-00002C010000}"/>
    <hyperlink ref="E313" r:id="rId302" xr:uid="{00000000-0004-0000-0100-00002D010000}"/>
    <hyperlink ref="K313" r:id="rId303" xr:uid="{00000000-0004-0000-0100-00002E010000}"/>
    <hyperlink ref="E1240" r:id="rId304" xr:uid="{00000000-0004-0000-0100-00002F010000}"/>
    <hyperlink ref="E850" r:id="rId305" xr:uid="{00000000-0004-0000-0100-000030010000}"/>
    <hyperlink ref="E1145" r:id="rId306" xr:uid="{00000000-0004-0000-0100-000031010000}"/>
    <hyperlink ref="E317" r:id="rId307" xr:uid="{00000000-0004-0000-0100-000032010000}"/>
    <hyperlink ref="E318" r:id="rId308" xr:uid="{00000000-0004-0000-0100-000033010000}"/>
    <hyperlink ref="E701" r:id="rId309" xr:uid="{00000000-0004-0000-0100-000034010000}"/>
    <hyperlink ref="E618" r:id="rId310" xr:uid="{00000000-0004-0000-0100-000035010000}"/>
    <hyperlink ref="E134" r:id="rId311" xr:uid="{00000000-0004-0000-0100-000036010000}"/>
    <hyperlink ref="E581" r:id="rId312" xr:uid="{00000000-0004-0000-0100-000037010000}"/>
    <hyperlink ref="E31" r:id="rId313" xr:uid="{00000000-0004-0000-0100-000038010000}"/>
    <hyperlink ref="E88" r:id="rId314" xr:uid="{00000000-0004-0000-0100-000039010000}"/>
    <hyperlink ref="E546" r:id="rId315" xr:uid="{00000000-0004-0000-0100-00003A010000}"/>
    <hyperlink ref="E595" r:id="rId316" xr:uid="{00000000-0004-0000-0100-00003B010000}"/>
    <hyperlink ref="E1147" r:id="rId317" xr:uid="{00000000-0004-0000-0100-00003C010000}"/>
    <hyperlink ref="E1210" r:id="rId318" xr:uid="{00000000-0004-0000-0100-00003D010000}"/>
    <hyperlink ref="D330" r:id="rId319" xr:uid="{00000000-0004-0000-0100-00003E010000}"/>
    <hyperlink ref="E330" r:id="rId320" xr:uid="{00000000-0004-0000-0100-00003F010000}"/>
    <hyperlink ref="E331" r:id="rId321" xr:uid="{00000000-0004-0000-0100-000040010000}"/>
    <hyperlink ref="E332" r:id="rId322" xr:uid="{00000000-0004-0000-0100-000041010000}"/>
    <hyperlink ref="E69" r:id="rId323" xr:uid="{00000000-0004-0000-0100-000042010000}"/>
    <hyperlink ref="E334" r:id="rId324" xr:uid="{00000000-0004-0000-0100-000043010000}"/>
    <hyperlink ref="E1261" r:id="rId325" xr:uid="{00000000-0004-0000-0100-000044010000}"/>
    <hyperlink ref="E1262" r:id="rId326" xr:uid="{00000000-0004-0000-0100-000045010000}"/>
    <hyperlink ref="E337" r:id="rId327" xr:uid="{00000000-0004-0000-0100-000046010000}"/>
    <hyperlink ref="E477" r:id="rId328" xr:uid="{00000000-0004-0000-0100-000047010000}"/>
    <hyperlink ref="E339" r:id="rId329" xr:uid="{00000000-0004-0000-0100-000048010000}"/>
    <hyperlink ref="E597" r:id="rId330" xr:uid="{00000000-0004-0000-0100-000049010000}"/>
    <hyperlink ref="E1258" r:id="rId331" xr:uid="{00000000-0004-0000-0100-00004A010000}"/>
    <hyperlink ref="E343" r:id="rId332" xr:uid="{00000000-0004-0000-0100-00004B010000}"/>
    <hyperlink ref="E666" r:id="rId333" xr:uid="{00000000-0004-0000-0100-00004C010000}"/>
    <hyperlink ref="E680" r:id="rId334" xr:uid="{00000000-0004-0000-0100-00004D010000}"/>
    <hyperlink ref="E346" r:id="rId335" xr:uid="{00000000-0004-0000-0100-00004E010000}"/>
    <hyperlink ref="E347" r:id="rId336" xr:uid="{00000000-0004-0000-0100-00004F010000}"/>
    <hyperlink ref="E580" r:id="rId337" xr:uid="{00000000-0004-0000-0100-000050010000}"/>
    <hyperlink ref="E1081" r:id="rId338" xr:uid="{00000000-0004-0000-0100-000051010000}"/>
    <hyperlink ref="E775" r:id="rId339" xr:uid="{00000000-0004-0000-0100-000052010000}"/>
    <hyperlink ref="E408" r:id="rId340" xr:uid="{00000000-0004-0000-0100-000053010000}"/>
    <hyperlink ref="E592" r:id="rId341" xr:uid="{00000000-0004-0000-0100-000054010000}"/>
    <hyperlink ref="E353" r:id="rId342" xr:uid="{00000000-0004-0000-0100-000055010000}"/>
    <hyperlink ref="E354" r:id="rId343" xr:uid="{00000000-0004-0000-0100-000056010000}"/>
    <hyperlink ref="E355" r:id="rId344" xr:uid="{00000000-0004-0000-0100-000057010000}"/>
    <hyperlink ref="E356" r:id="rId345" xr:uid="{00000000-0004-0000-0100-000058010000}"/>
    <hyperlink ref="E357" r:id="rId346" xr:uid="{00000000-0004-0000-0100-000059010000}"/>
    <hyperlink ref="E359" r:id="rId347" xr:uid="{00000000-0004-0000-0100-00005A010000}"/>
    <hyperlink ref="E1102" r:id="rId348" xr:uid="{00000000-0004-0000-0100-00005B010000}"/>
    <hyperlink ref="E361" r:id="rId349" xr:uid="{00000000-0004-0000-0100-00005C010000}"/>
    <hyperlink ref="E1015" r:id="rId350" xr:uid="{00000000-0004-0000-0100-00005D010000}"/>
    <hyperlink ref="E363" r:id="rId351" xr:uid="{00000000-0004-0000-0100-00005E010000}"/>
    <hyperlink ref="E364" r:id="rId352" xr:uid="{00000000-0004-0000-0100-00005F010000}"/>
    <hyperlink ref="E818" r:id="rId353" xr:uid="{00000000-0004-0000-0100-000060010000}"/>
    <hyperlink ref="E376" r:id="rId354" xr:uid="{00000000-0004-0000-0100-000061010000}"/>
    <hyperlink ref="E367" r:id="rId355" xr:uid="{00000000-0004-0000-0100-000062010000}"/>
    <hyperlink ref="E368" r:id="rId356" xr:uid="{00000000-0004-0000-0100-000063010000}"/>
    <hyperlink ref="E369" r:id="rId357" xr:uid="{00000000-0004-0000-0100-000064010000}"/>
    <hyperlink ref="E370" r:id="rId358" xr:uid="{00000000-0004-0000-0100-000065010000}"/>
    <hyperlink ref="E371" r:id="rId359" xr:uid="{00000000-0004-0000-0100-000066010000}"/>
    <hyperlink ref="E372" r:id="rId360" xr:uid="{00000000-0004-0000-0100-000067010000}"/>
    <hyperlink ref="E373" r:id="rId361" xr:uid="{00000000-0004-0000-0100-000068010000}"/>
    <hyperlink ref="E374" r:id="rId362" xr:uid="{00000000-0004-0000-0100-000069010000}"/>
    <hyperlink ref="E375" r:id="rId363" xr:uid="{00000000-0004-0000-0100-00006A010000}"/>
    <hyperlink ref="E197" r:id="rId364" xr:uid="{00000000-0004-0000-0100-00006B010000}"/>
    <hyperlink ref="E377" r:id="rId365" xr:uid="{00000000-0004-0000-0100-00006C010000}"/>
    <hyperlink ref="E464" r:id="rId366" xr:uid="{00000000-0004-0000-0100-00006D010000}"/>
    <hyperlink ref="E379" r:id="rId367" xr:uid="{00000000-0004-0000-0100-00006E010000}"/>
    <hyperlink ref="E380" r:id="rId368" xr:uid="{00000000-0004-0000-0100-00006F010000}"/>
    <hyperlink ref="E382" r:id="rId369" xr:uid="{00000000-0004-0000-0100-000070010000}"/>
    <hyperlink ref="E1066" r:id="rId370" xr:uid="{00000000-0004-0000-0100-000071010000}"/>
    <hyperlink ref="D384" r:id="rId371" xr:uid="{00000000-0004-0000-0100-000072010000}"/>
    <hyperlink ref="E384" r:id="rId372" xr:uid="{00000000-0004-0000-0100-000073010000}"/>
    <hyperlink ref="E385" r:id="rId373" xr:uid="{00000000-0004-0000-0100-000074010000}"/>
    <hyperlink ref="E386" r:id="rId374" xr:uid="{00000000-0004-0000-0100-000075010000}"/>
    <hyperlink ref="E388" r:id="rId375" xr:uid="{00000000-0004-0000-0100-000076010000}"/>
    <hyperlink ref="E389" r:id="rId376" xr:uid="{00000000-0004-0000-0100-000077010000}"/>
    <hyperlink ref="E771" r:id="rId377" xr:uid="{00000000-0004-0000-0100-000078010000}"/>
    <hyperlink ref="E505" r:id="rId378" xr:uid="{00000000-0004-0000-0100-000079010000}"/>
    <hyperlink ref="E392" r:id="rId379" xr:uid="{00000000-0004-0000-0100-00007A010000}"/>
    <hyperlink ref="E394" r:id="rId380" xr:uid="{00000000-0004-0000-0100-00007B010000}"/>
    <hyperlink ref="E395" r:id="rId381" xr:uid="{00000000-0004-0000-0100-00007C010000}"/>
    <hyperlink ref="E396" r:id="rId382" xr:uid="{00000000-0004-0000-0100-00007D010000}"/>
    <hyperlink ref="E634" r:id="rId383" xr:uid="{00000000-0004-0000-0100-00007E010000}"/>
    <hyperlink ref="E398" r:id="rId384" xr:uid="{00000000-0004-0000-0100-00007F010000}"/>
    <hyperlink ref="E399" r:id="rId385" xr:uid="{00000000-0004-0000-0100-000080010000}"/>
    <hyperlink ref="E1203" r:id="rId386" xr:uid="{00000000-0004-0000-0100-000081010000}"/>
    <hyperlink ref="E401" r:id="rId387" xr:uid="{00000000-0004-0000-0100-000082010000}"/>
    <hyperlink ref="E402" r:id="rId388" xr:uid="{00000000-0004-0000-0100-000083010000}"/>
    <hyperlink ref="E403" r:id="rId389" xr:uid="{00000000-0004-0000-0100-000084010000}"/>
    <hyperlink ref="E907" r:id="rId390" xr:uid="{00000000-0004-0000-0100-000085010000}"/>
    <hyperlink ref="E405" r:id="rId391" xr:uid="{00000000-0004-0000-0100-000086010000}"/>
    <hyperlink ref="E406" r:id="rId392" xr:uid="{00000000-0004-0000-0100-000087010000}"/>
    <hyperlink ref="E669" r:id="rId393" xr:uid="{00000000-0004-0000-0100-000088010000}"/>
    <hyperlink ref="E723" r:id="rId394" xr:uid="{00000000-0004-0000-0100-000089010000}"/>
    <hyperlink ref="E1268" r:id="rId395" xr:uid="{00000000-0004-0000-0100-00008A010000}"/>
    <hyperlink ref="E600" r:id="rId396" xr:uid="{00000000-0004-0000-0100-00008B010000}"/>
    <hyperlink ref="D573" r:id="rId397" xr:uid="{00000000-0004-0000-0100-00008C010000}"/>
    <hyperlink ref="E573" r:id="rId398" xr:uid="{00000000-0004-0000-0100-00008D010000}"/>
    <hyperlink ref="E657" r:id="rId399" xr:uid="{00000000-0004-0000-0100-00008E010000}"/>
    <hyperlink ref="E413" r:id="rId400" xr:uid="{00000000-0004-0000-0100-00008F010000}"/>
    <hyperlink ref="E414" r:id="rId401" xr:uid="{00000000-0004-0000-0100-000090010000}"/>
    <hyperlink ref="E415" r:id="rId402" xr:uid="{00000000-0004-0000-0100-000091010000}"/>
    <hyperlink ref="E416" r:id="rId403" xr:uid="{00000000-0004-0000-0100-000092010000}"/>
    <hyperlink ref="E876" r:id="rId404" xr:uid="{00000000-0004-0000-0100-000093010000}"/>
    <hyperlink ref="E418" r:id="rId405" xr:uid="{00000000-0004-0000-0100-000094010000}"/>
    <hyperlink ref="E419" r:id="rId406" xr:uid="{00000000-0004-0000-0100-000095010000}"/>
    <hyperlink ref="E1148" r:id="rId407" xr:uid="{00000000-0004-0000-0100-000096010000}"/>
    <hyperlink ref="E527" r:id="rId408" xr:uid="{00000000-0004-0000-0100-000097010000}"/>
    <hyperlink ref="E423" r:id="rId409" xr:uid="{00000000-0004-0000-0100-000098010000}"/>
    <hyperlink ref="D425" r:id="rId410" xr:uid="{00000000-0004-0000-0100-000099010000}"/>
    <hyperlink ref="E426" r:id="rId411" xr:uid="{00000000-0004-0000-0100-00009A010000}"/>
    <hyperlink ref="E429" r:id="rId412" xr:uid="{00000000-0004-0000-0100-00009B010000}"/>
    <hyperlink ref="E319" r:id="rId413" xr:uid="{00000000-0004-0000-0100-00009C010000}"/>
    <hyperlink ref="E432" r:id="rId414" xr:uid="{00000000-0004-0000-0100-00009D010000}"/>
    <hyperlink ref="E433" r:id="rId415" xr:uid="{00000000-0004-0000-0100-00009E010000}"/>
    <hyperlink ref="E434" r:id="rId416" xr:uid="{00000000-0004-0000-0100-00009F010000}"/>
    <hyperlink ref="E1190" r:id="rId417" xr:uid="{00000000-0004-0000-0100-0000A0010000}"/>
    <hyperlink ref="D436" r:id="rId418" xr:uid="{00000000-0004-0000-0100-0000A1010000}"/>
    <hyperlink ref="E436" r:id="rId419" xr:uid="{00000000-0004-0000-0100-0000A2010000}"/>
    <hyperlink ref="E536" r:id="rId420" xr:uid="{00000000-0004-0000-0100-0000A3010000}"/>
    <hyperlink ref="E438" r:id="rId421" xr:uid="{00000000-0004-0000-0100-0000A4010000}"/>
    <hyperlink ref="E46" r:id="rId422" xr:uid="{00000000-0004-0000-0100-0000A5010000}"/>
    <hyperlink ref="E441" r:id="rId423" xr:uid="{00000000-0004-0000-0100-0000A6010000}"/>
    <hyperlink ref="E442" r:id="rId424" xr:uid="{00000000-0004-0000-0100-0000A7010000}"/>
    <hyperlink ref="E444" r:id="rId425" xr:uid="{00000000-0004-0000-0100-0000A8010000}"/>
    <hyperlink ref="E445" r:id="rId426" xr:uid="{00000000-0004-0000-0100-0000A9010000}"/>
    <hyperlink ref="E446" r:id="rId427" xr:uid="{00000000-0004-0000-0100-0000AA010000}"/>
    <hyperlink ref="E448" r:id="rId428" xr:uid="{00000000-0004-0000-0100-0000AB010000}"/>
    <hyperlink ref="E620" r:id="rId429" xr:uid="{00000000-0004-0000-0100-0000AC010000}"/>
    <hyperlink ref="E452" r:id="rId430" xr:uid="{00000000-0004-0000-0100-0000AD010000}"/>
    <hyperlink ref="E453" r:id="rId431" xr:uid="{00000000-0004-0000-0100-0000AE010000}"/>
    <hyperlink ref="E454" r:id="rId432" xr:uid="{00000000-0004-0000-0100-0000AF010000}"/>
    <hyperlink ref="E455" r:id="rId433" xr:uid="{00000000-0004-0000-0100-0000B0010000}"/>
    <hyperlink ref="E456" r:id="rId434" xr:uid="{00000000-0004-0000-0100-0000B1010000}"/>
    <hyperlink ref="D250" r:id="rId435" xr:uid="{00000000-0004-0000-0100-0000B2010000}"/>
    <hyperlink ref="E250" r:id="rId436" xr:uid="{00000000-0004-0000-0100-0000B3010000}"/>
    <hyperlink ref="E1169" r:id="rId437" xr:uid="{00000000-0004-0000-0100-0000B4010000}"/>
    <hyperlink ref="E459" r:id="rId438" xr:uid="{00000000-0004-0000-0100-0000B5010000}"/>
    <hyperlink ref="E460" r:id="rId439" xr:uid="{00000000-0004-0000-0100-0000B6010000}"/>
    <hyperlink ref="E1047" r:id="rId440" xr:uid="{00000000-0004-0000-0100-0000B7010000}"/>
    <hyperlink ref="D462" r:id="rId441" xr:uid="{00000000-0004-0000-0100-0000B8010000}"/>
    <hyperlink ref="E462" r:id="rId442" xr:uid="{00000000-0004-0000-0100-0000B9010000}"/>
    <hyperlink ref="E713" r:id="rId443" xr:uid="{00000000-0004-0000-0100-0000BA010000}"/>
    <hyperlink ref="E649" r:id="rId444" xr:uid="{00000000-0004-0000-0100-0000BB010000}"/>
    <hyperlink ref="E763" r:id="rId445" xr:uid="{00000000-0004-0000-0100-0000BC010000}"/>
    <hyperlink ref="E1090" r:id="rId446" xr:uid="{00000000-0004-0000-0100-0000BD010000}"/>
    <hyperlink ref="E470" r:id="rId447" xr:uid="{00000000-0004-0000-0100-0000BE010000}"/>
    <hyperlink ref="E1037" r:id="rId448" xr:uid="{00000000-0004-0000-0100-0000BF010000}"/>
    <hyperlink ref="E472" r:id="rId449" xr:uid="{00000000-0004-0000-0100-0000C0010000}"/>
    <hyperlink ref="E1024" r:id="rId450" xr:uid="{00000000-0004-0000-0100-0000C1010000}"/>
    <hyperlink ref="E474" r:id="rId451" xr:uid="{00000000-0004-0000-0100-0000C2010000}"/>
    <hyperlink ref="E475" r:id="rId452" xr:uid="{00000000-0004-0000-0100-0000C3010000}"/>
    <hyperlink ref="E1171" r:id="rId453" xr:uid="{00000000-0004-0000-0100-0000C4010000}"/>
    <hyperlink ref="E1005" r:id="rId454" xr:uid="{00000000-0004-0000-0100-0000C5010000}"/>
    <hyperlink ref="E1232" r:id="rId455" xr:uid="{00000000-0004-0000-0100-0000C6010000}"/>
    <hyperlink ref="E391" r:id="rId456" xr:uid="{00000000-0004-0000-0100-0000C7010000}"/>
    <hyperlink ref="E1097" r:id="rId457" xr:uid="{00000000-0004-0000-0100-0000C8010000}"/>
    <hyperlink ref="E481" r:id="rId458" xr:uid="{00000000-0004-0000-0100-0000C9010000}"/>
    <hyperlink ref="E256" r:id="rId459" xr:uid="{00000000-0004-0000-0100-0000CA010000}"/>
    <hyperlink ref="E483" r:id="rId460" xr:uid="{00000000-0004-0000-0100-0000CB010000}"/>
    <hyperlink ref="E841" r:id="rId461" xr:uid="{00000000-0004-0000-0100-0000CC010000}"/>
    <hyperlink ref="E228" r:id="rId462" xr:uid="{00000000-0004-0000-0100-0000CD010000}"/>
    <hyperlink ref="E762" r:id="rId463" xr:uid="{00000000-0004-0000-0100-0000CE010000}"/>
    <hyperlink ref="E1266" r:id="rId464" xr:uid="{00000000-0004-0000-0100-0000CF010000}"/>
    <hyperlink ref="E226" r:id="rId465" xr:uid="{00000000-0004-0000-0100-0000D0010000}"/>
    <hyperlink ref="E492" r:id="rId466" xr:uid="{00000000-0004-0000-0100-0000D1010000}"/>
    <hyperlink ref="E494" r:id="rId467" xr:uid="{00000000-0004-0000-0100-0000D2010000}"/>
    <hyperlink ref="E495" r:id="rId468" xr:uid="{00000000-0004-0000-0100-0000D3010000}"/>
    <hyperlink ref="D176" r:id="rId469" xr:uid="{00000000-0004-0000-0100-0000D4010000}"/>
    <hyperlink ref="E565" r:id="rId470" xr:uid="{00000000-0004-0000-0100-0000D5010000}"/>
    <hyperlink ref="E913" r:id="rId471" xr:uid="{00000000-0004-0000-0100-0000D6010000}"/>
    <hyperlink ref="E917" r:id="rId472" xr:uid="{00000000-0004-0000-0100-0000D7010000}"/>
    <hyperlink ref="E500" r:id="rId473" xr:uid="{00000000-0004-0000-0100-0000D8010000}"/>
    <hyperlink ref="E501" r:id="rId474" xr:uid="{00000000-0004-0000-0100-0000D9010000}"/>
    <hyperlink ref="E201" r:id="rId475" xr:uid="{00000000-0004-0000-0100-0000DA010000}"/>
    <hyperlink ref="E717" r:id="rId476" xr:uid="{00000000-0004-0000-0100-0000DB010000}"/>
    <hyperlink ref="E299" r:id="rId477" xr:uid="{00000000-0004-0000-0100-0000DC010000}"/>
    <hyperlink ref="E562" r:id="rId478" xr:uid="{00000000-0004-0000-0100-0000DD010000}"/>
    <hyperlink ref="E506" r:id="rId479" xr:uid="{00000000-0004-0000-0100-0000DE010000}"/>
    <hyperlink ref="E853" r:id="rId480" xr:uid="{00000000-0004-0000-0100-0000DF010000}"/>
    <hyperlink ref="E508" r:id="rId481" xr:uid="{00000000-0004-0000-0100-0000E0010000}"/>
    <hyperlink ref="E707" r:id="rId482" xr:uid="{00000000-0004-0000-0100-0000E1010000}"/>
    <hyperlink ref="E510" r:id="rId483" xr:uid="{00000000-0004-0000-0100-0000E2010000}"/>
    <hyperlink ref="E974" r:id="rId484" xr:uid="{00000000-0004-0000-0100-0000E3010000}"/>
    <hyperlink ref="E512" r:id="rId485" xr:uid="{00000000-0004-0000-0100-0000E4010000}"/>
    <hyperlink ref="E513" r:id="rId486" xr:uid="{00000000-0004-0000-0100-0000E5010000}"/>
    <hyperlink ref="E294" r:id="rId487" xr:uid="{00000000-0004-0000-0100-0000E6010000}"/>
    <hyperlink ref="E613" r:id="rId488" xr:uid="{00000000-0004-0000-0100-0000E7010000}"/>
    <hyperlink ref="E233" r:id="rId489" xr:uid="{00000000-0004-0000-0100-0000E8010000}"/>
    <hyperlink ref="E180" r:id="rId490" xr:uid="{00000000-0004-0000-0100-0000E9010000}"/>
    <hyperlink ref="E833" r:id="rId491" xr:uid="{00000000-0004-0000-0100-0000EA010000}"/>
    <hyperlink ref="E219" r:id="rId492" xr:uid="{00000000-0004-0000-0100-0000EB010000}"/>
    <hyperlink ref="E1131" r:id="rId493" xr:uid="{00000000-0004-0000-0100-0000EC010000}"/>
    <hyperlink ref="E522" r:id="rId494" xr:uid="{00000000-0004-0000-0100-0000ED010000}"/>
    <hyperlink ref="E523" r:id="rId495" xr:uid="{00000000-0004-0000-0100-0000EE010000}"/>
    <hyperlink ref="E1256" r:id="rId496" xr:uid="{00000000-0004-0000-0100-0000EF010000}"/>
    <hyperlink ref="E241" r:id="rId497" xr:uid="{00000000-0004-0000-0100-0000F0010000}"/>
    <hyperlink ref="E1063" r:id="rId498" xr:uid="{00000000-0004-0000-0100-0000F1010000}"/>
    <hyperlink ref="E1036" r:id="rId499" xr:uid="{00000000-0004-0000-0100-0000F2010000}"/>
    <hyperlink ref="E85" r:id="rId500" xr:uid="{00000000-0004-0000-0100-0000F3010000}"/>
    <hyperlink ref="E721" r:id="rId501" xr:uid="{00000000-0004-0000-0100-0000F4010000}"/>
    <hyperlink ref="E800" r:id="rId502" xr:uid="{00000000-0004-0000-0100-0000F5010000}"/>
    <hyperlink ref="E532" r:id="rId503" xr:uid="{00000000-0004-0000-0100-0000F6010000}"/>
    <hyperlink ref="E400" r:id="rId504" xr:uid="{00000000-0004-0000-0100-0000F7010000}"/>
    <hyperlink ref="E534" r:id="rId505" xr:uid="{00000000-0004-0000-0100-0000F8010000}"/>
    <hyperlink ref="E535" r:id="rId506" xr:uid="{00000000-0004-0000-0100-0000F9010000}"/>
    <hyperlink ref="E560" r:id="rId507" xr:uid="{00000000-0004-0000-0100-0000FA010000}"/>
    <hyperlink ref="E537" r:id="rId508" xr:uid="{00000000-0004-0000-0100-0000FB010000}"/>
    <hyperlink ref="E538" r:id="rId509" xr:uid="{00000000-0004-0000-0100-0000FC010000}"/>
    <hyperlink ref="E411" r:id="rId510" xr:uid="{00000000-0004-0000-0100-0000FD010000}"/>
    <hyperlink ref="E540" r:id="rId511" xr:uid="{00000000-0004-0000-0100-0000FE010000}"/>
    <hyperlink ref="E358" r:id="rId512" xr:uid="{00000000-0004-0000-0100-0000FF010000}"/>
    <hyperlink ref="E298" r:id="rId513" xr:uid="{00000000-0004-0000-0100-000000020000}"/>
    <hyperlink ref="E543" r:id="rId514" xr:uid="{00000000-0004-0000-0100-000001020000}"/>
    <hyperlink ref="E21" r:id="rId515" xr:uid="{00000000-0004-0000-0100-000002020000}"/>
    <hyperlink ref="E545" r:id="rId516" xr:uid="{00000000-0004-0000-0100-000003020000}"/>
    <hyperlink ref="E248" r:id="rId517" xr:uid="{00000000-0004-0000-0100-000004020000}"/>
    <hyperlink ref="E1000" r:id="rId518" xr:uid="{00000000-0004-0000-0100-000005020000}"/>
    <hyperlink ref="I1000" r:id="rId519" xr:uid="{00000000-0004-0000-0100-000006020000}"/>
    <hyperlink ref="E549" r:id="rId520" xr:uid="{00000000-0004-0000-0100-000007020000}"/>
    <hyperlink ref="E550" r:id="rId521" xr:uid="{00000000-0004-0000-0100-000008020000}"/>
    <hyperlink ref="E551" r:id="rId522" xr:uid="{00000000-0004-0000-0100-000009020000}"/>
    <hyperlink ref="E552" r:id="rId523" xr:uid="{00000000-0004-0000-0100-00000A020000}"/>
    <hyperlink ref="E553" r:id="rId524" xr:uid="{00000000-0004-0000-0100-00000B020000}"/>
    <hyperlink ref="E554" r:id="rId525" xr:uid="{00000000-0004-0000-0100-00000C020000}"/>
    <hyperlink ref="E555" r:id="rId526" xr:uid="{00000000-0004-0000-0100-00000D020000}"/>
    <hyperlink ref="E556" r:id="rId527" xr:uid="{00000000-0004-0000-0100-00000E020000}"/>
    <hyperlink ref="E557" r:id="rId528" xr:uid="{00000000-0004-0000-0100-00000F020000}"/>
    <hyperlink ref="E342" r:id="rId529" xr:uid="{00000000-0004-0000-0100-000010020000}"/>
    <hyperlink ref="E559" r:id="rId530" xr:uid="{00000000-0004-0000-0100-000011020000}"/>
    <hyperlink ref="E430" r:id="rId531" xr:uid="{00000000-0004-0000-0100-000012020000}"/>
    <hyperlink ref="E431" r:id="rId532" xr:uid="{00000000-0004-0000-0100-000013020000}"/>
    <hyperlink ref="E140" r:id="rId533" xr:uid="{00000000-0004-0000-0100-000014020000}"/>
    <hyperlink ref="E360" r:id="rId534" xr:uid="{00000000-0004-0000-0100-000015020000}"/>
    <hyperlink ref="E564" r:id="rId535" xr:uid="{00000000-0004-0000-0100-000016020000}"/>
    <hyperlink ref="E435" r:id="rId536" xr:uid="{00000000-0004-0000-0100-000017020000}"/>
    <hyperlink ref="E366" r:id="rId537" xr:uid="{00000000-0004-0000-0100-000018020000}"/>
    <hyperlink ref="E1088" r:id="rId538" xr:uid="{00000000-0004-0000-0100-000019020000}"/>
    <hyperlink ref="E1272" r:id="rId539" xr:uid="{00000000-0004-0000-0100-00001A020000}"/>
    <hyperlink ref="E570" r:id="rId540" xr:uid="{00000000-0004-0000-0100-00001B020000}"/>
    <hyperlink ref="E932" r:id="rId541" xr:uid="{00000000-0004-0000-0100-00001C020000}"/>
    <hyperlink ref="E74" r:id="rId542" xr:uid="{00000000-0004-0000-0100-00001D020000}"/>
    <hyperlink ref="E574" r:id="rId543" xr:uid="{00000000-0004-0000-0100-00001E020000}"/>
    <hyperlink ref="E575" r:id="rId544" xr:uid="{00000000-0004-0000-0100-00001F020000}"/>
    <hyperlink ref="E576" r:id="rId545" xr:uid="{00000000-0004-0000-0100-000020020000}"/>
    <hyperlink ref="E577" r:id="rId546" xr:uid="{00000000-0004-0000-0100-000021020000}"/>
    <hyperlink ref="E125" r:id="rId547" xr:uid="{00000000-0004-0000-0100-000022020000}"/>
    <hyperlink ref="E328" r:id="rId548" xr:uid="{00000000-0004-0000-0100-000023020000}"/>
    <hyperlink ref="E1089" r:id="rId549" xr:uid="{00000000-0004-0000-0100-000024020000}"/>
    <hyperlink ref="E1273" r:id="rId550" xr:uid="{00000000-0004-0000-0100-000025020000}"/>
    <hyperlink ref="E583" r:id="rId551" xr:uid="{00000000-0004-0000-0100-000026020000}"/>
    <hyperlink ref="E584" r:id="rId552" xr:uid="{00000000-0004-0000-0100-000027020000}"/>
    <hyperlink ref="E585" r:id="rId553" xr:uid="{00000000-0004-0000-0100-000028020000}"/>
    <hyperlink ref="E822" r:id="rId554" xr:uid="{00000000-0004-0000-0100-000029020000}"/>
    <hyperlink ref="E1247" r:id="rId555" xr:uid="{00000000-0004-0000-0100-00002A020000}"/>
    <hyperlink ref="E612" r:id="rId556" xr:uid="{00000000-0004-0000-0100-00002B020000}"/>
    <hyperlink ref="E589" r:id="rId557" xr:uid="{00000000-0004-0000-0100-00002C020000}"/>
    <hyperlink ref="E590" r:id="rId558" xr:uid="{00000000-0004-0000-0100-00002D020000}"/>
    <hyperlink ref="E591" r:id="rId559" xr:uid="{00000000-0004-0000-0100-00002E020000}"/>
    <hyperlink ref="E83" r:id="rId560" xr:uid="{00000000-0004-0000-0100-00002F020000}"/>
    <hyperlink ref="E410" r:id="rId561" xr:uid="{00000000-0004-0000-0100-000030020000}"/>
    <hyperlink ref="E461" r:id="rId562" xr:uid="{00000000-0004-0000-0100-000031020000}"/>
    <hyperlink ref="E896" r:id="rId563" xr:uid="{00000000-0004-0000-0100-000032020000}"/>
    <hyperlink ref="E598" r:id="rId564" xr:uid="{00000000-0004-0000-0100-000033020000}"/>
    <hyperlink ref="E599" r:id="rId565" xr:uid="{00000000-0004-0000-0100-000034020000}"/>
    <hyperlink ref="E715" r:id="rId566" xr:uid="{00000000-0004-0000-0100-000035020000}"/>
    <hyperlink ref="E832" r:id="rId567" xr:uid="{00000000-0004-0000-0100-000036020000}"/>
    <hyperlink ref="E340" r:id="rId568" xr:uid="{00000000-0004-0000-0100-000037020000}"/>
    <hyperlink ref="E502" r:id="rId569" xr:uid="{00000000-0004-0000-0100-000038020000}"/>
    <hyperlink ref="E604" r:id="rId570" xr:uid="{00000000-0004-0000-0100-000039020000}"/>
    <hyperlink ref="D606" r:id="rId571" xr:uid="{00000000-0004-0000-0100-00003A020000}"/>
    <hyperlink ref="E606" r:id="rId572" xr:uid="{00000000-0004-0000-0100-00003B020000}"/>
    <hyperlink ref="E607" r:id="rId573" xr:uid="{00000000-0004-0000-0100-00003C020000}"/>
    <hyperlink ref="E608" r:id="rId574" xr:uid="{00000000-0004-0000-0100-00003D020000}"/>
    <hyperlink ref="E420" r:id="rId575" xr:uid="{00000000-0004-0000-0100-00003E020000}"/>
    <hyperlink ref="E587" r:id="rId576" xr:uid="{00000000-0004-0000-0100-00003F020000}"/>
    <hyperlink ref="E686" r:id="rId577" xr:uid="{00000000-0004-0000-0100-000040020000}"/>
    <hyperlink ref="E640" r:id="rId578" xr:uid="{00000000-0004-0000-0100-000041020000}"/>
    <hyperlink ref="E1041" r:id="rId579" xr:uid="{00000000-0004-0000-0100-000042020000}"/>
    <hyperlink ref="E828" r:id="rId580" xr:uid="{00000000-0004-0000-0100-000043020000}"/>
    <hyperlink ref="E846" r:id="rId581" xr:uid="{00000000-0004-0000-0100-000044020000}"/>
    <hyperlink ref="E531" r:id="rId582" xr:uid="{00000000-0004-0000-0100-000045020000}"/>
    <hyperlink ref="E457" r:id="rId583" xr:uid="{00000000-0004-0000-0100-000046020000}"/>
    <hyperlink ref="E258" r:id="rId584" xr:uid="{00000000-0004-0000-0100-000047020000}"/>
    <hyperlink ref="E792" r:id="rId585" xr:uid="{00000000-0004-0000-0100-000048020000}"/>
    <hyperlink ref="E1233" r:id="rId586" xr:uid="{00000000-0004-0000-0100-000049020000}"/>
    <hyperlink ref="E525" r:id="rId587" xr:uid="{00000000-0004-0000-0100-00004A020000}"/>
    <hyperlink ref="E625" r:id="rId588" xr:uid="{00000000-0004-0000-0100-00004B020000}"/>
    <hyperlink ref="E397" r:id="rId589" xr:uid="{00000000-0004-0000-0100-00004C020000}"/>
    <hyperlink ref="E628" r:id="rId590" xr:uid="{00000000-0004-0000-0100-00004D020000}"/>
    <hyperlink ref="E629" r:id="rId591" xr:uid="{00000000-0004-0000-0100-00004E020000}"/>
    <hyperlink ref="E630" r:id="rId592" xr:uid="{00000000-0004-0000-0100-00004F020000}"/>
    <hyperlink ref="E631" r:id="rId593" xr:uid="{00000000-0004-0000-0100-000050020000}"/>
    <hyperlink ref="E126" r:id="rId594" xr:uid="{00000000-0004-0000-0100-000051020000}"/>
    <hyperlink ref="E611" r:id="rId595" xr:uid="{00000000-0004-0000-0100-000052020000}"/>
    <hyperlink ref="E1035" r:id="rId596" xr:uid="{00000000-0004-0000-0100-000053020000}"/>
    <hyperlink ref="E711" r:id="rId597" xr:uid="{00000000-0004-0000-0100-000054020000}"/>
    <hyperlink ref="E637" r:id="rId598" xr:uid="{00000000-0004-0000-0100-000055020000}"/>
    <hyperlink ref="E272" r:id="rId599" xr:uid="{00000000-0004-0000-0100-000056020000}"/>
    <hyperlink ref="E350" r:id="rId600" xr:uid="{00000000-0004-0000-0100-000057020000}"/>
    <hyperlink ref="E273" r:id="rId601" xr:uid="{00000000-0004-0000-0100-000058020000}"/>
    <hyperlink ref="D863" r:id="rId602" xr:uid="{00000000-0004-0000-0100-000059020000}"/>
    <hyperlink ref="E863" r:id="rId603" xr:uid="{00000000-0004-0000-0100-00005A020000}"/>
    <hyperlink ref="E642" r:id="rId604" xr:uid="{00000000-0004-0000-0100-00005B020000}"/>
    <hyperlink ref="E643" r:id="rId605" xr:uid="{00000000-0004-0000-0100-00005C020000}"/>
    <hyperlink ref="E644" r:id="rId606" xr:uid="{00000000-0004-0000-0100-00005D020000}"/>
    <hyperlink ref="E645" r:id="rId607" xr:uid="{00000000-0004-0000-0100-00005E020000}"/>
    <hyperlink ref="E646" r:id="rId608" xr:uid="{00000000-0004-0000-0100-00005F020000}"/>
    <hyperlink ref="E647" r:id="rId609" xr:uid="{00000000-0004-0000-0100-000060020000}"/>
    <hyperlink ref="E648" r:id="rId610" xr:uid="{00000000-0004-0000-0100-000061020000}"/>
    <hyperlink ref="E1235" r:id="rId611" xr:uid="{00000000-0004-0000-0100-000062020000}"/>
    <hyperlink ref="E650" r:id="rId612" xr:uid="{00000000-0004-0000-0100-000063020000}"/>
    <hyperlink ref="E466" r:id="rId613" xr:uid="{00000000-0004-0000-0100-000064020000}"/>
    <hyperlink ref="E652" r:id="rId614" xr:uid="{00000000-0004-0000-0100-000065020000}"/>
    <hyperlink ref="E651" r:id="rId615" xr:uid="{00000000-0004-0000-0100-000066020000}"/>
    <hyperlink ref="E654" r:id="rId616" xr:uid="{00000000-0004-0000-0100-000067020000}"/>
    <hyperlink ref="E1084" r:id="rId617" xr:uid="{00000000-0004-0000-0100-000068020000}"/>
    <hyperlink ref="E412" r:id="rId618" xr:uid="{00000000-0004-0000-0100-000069020000}"/>
    <hyperlink ref="E100" r:id="rId619" xr:uid="{00000000-0004-0000-0100-00006A020000}"/>
    <hyperlink ref="E1229" r:id="rId620" xr:uid="{00000000-0004-0000-0100-00006B020000}"/>
    <hyperlink ref="E214" r:id="rId621" xr:uid="{00000000-0004-0000-0100-00006C020000}"/>
    <hyperlink ref="E579" r:id="rId622" xr:uid="{00000000-0004-0000-0100-00006D020000}"/>
    <hyperlink ref="E661" r:id="rId623" xr:uid="{00000000-0004-0000-0100-00006E020000}"/>
    <hyperlink ref="E662" r:id="rId624" xr:uid="{00000000-0004-0000-0100-00006F020000}"/>
    <hyperlink ref="E283" r:id="rId625" xr:uid="{00000000-0004-0000-0100-000070020000}"/>
    <hyperlink ref="E515" r:id="rId626" xr:uid="{00000000-0004-0000-0100-000071020000}"/>
    <hyperlink ref="E1012" r:id="rId627" xr:uid="{00000000-0004-0000-0100-000072020000}"/>
    <hyperlink ref="E667" r:id="rId628" xr:uid="{00000000-0004-0000-0100-000073020000}"/>
    <hyperlink ref="E668" r:id="rId629" xr:uid="{00000000-0004-0000-0100-000074020000}"/>
    <hyperlink ref="E947" r:id="rId630" xr:uid="{00000000-0004-0000-0100-000075020000}"/>
    <hyperlink ref="E670" r:id="rId631" xr:uid="{00000000-0004-0000-0100-000076020000}"/>
    <hyperlink ref="E671" r:id="rId632" xr:uid="{00000000-0004-0000-0100-000077020000}"/>
    <hyperlink ref="E672" r:id="rId633" xr:uid="{00000000-0004-0000-0100-000078020000}"/>
    <hyperlink ref="E727" r:id="rId634" xr:uid="{00000000-0004-0000-0100-000079020000}"/>
    <hyperlink ref="E674" r:id="rId635" xr:uid="{00000000-0004-0000-0100-00007A020000}"/>
    <hyperlink ref="E675" r:id="rId636" xr:uid="{00000000-0004-0000-0100-00007B020000}"/>
    <hyperlink ref="E676" r:id="rId637" xr:uid="{00000000-0004-0000-0100-00007C020000}"/>
    <hyperlink ref="E133" r:id="rId638" xr:uid="{00000000-0004-0000-0100-00007D020000}"/>
    <hyperlink ref="E678" r:id="rId639" xr:uid="{00000000-0004-0000-0100-00007E020000}"/>
    <hyperlink ref="E679" r:id="rId640" xr:uid="{00000000-0004-0000-0100-00007F020000}"/>
    <hyperlink ref="E285" r:id="rId641" xr:uid="{00000000-0004-0000-0100-000080020000}"/>
    <hyperlink ref="E681" r:id="rId642" xr:uid="{00000000-0004-0000-0100-000081020000}"/>
    <hyperlink ref="E682" r:id="rId643" xr:uid="{00000000-0004-0000-0100-000082020000}"/>
    <hyperlink ref="E1253" r:id="rId644" xr:uid="{00000000-0004-0000-0100-000083020000}"/>
    <hyperlink ref="E223" r:id="rId645" xr:uid="{00000000-0004-0000-0100-000084020000}"/>
    <hyperlink ref="E561" r:id="rId646" xr:uid="{00000000-0004-0000-0100-000085020000}"/>
    <hyperlink ref="E437" r:id="rId647" xr:uid="{00000000-0004-0000-0100-000086020000}"/>
    <hyperlink ref="E687" r:id="rId648" xr:uid="{00000000-0004-0000-0100-000087020000}"/>
    <hyperlink ref="E322" r:id="rId649" xr:uid="{00000000-0004-0000-0100-000088020000}"/>
    <hyperlink ref="E838" r:id="rId650" xr:uid="{00000000-0004-0000-0100-000089020000}"/>
    <hyperlink ref="E690" r:id="rId651" xr:uid="{00000000-0004-0000-0100-00008A020000}"/>
    <hyperlink ref="D344" r:id="rId652" xr:uid="{00000000-0004-0000-0100-00008B020000}"/>
    <hyperlink ref="E344" r:id="rId653" xr:uid="{00000000-0004-0000-0100-00008C020000}"/>
    <hyperlink ref="E1248" r:id="rId654" xr:uid="{00000000-0004-0000-0100-00008D020000}"/>
    <hyperlink ref="E265" r:id="rId655" xr:uid="{00000000-0004-0000-0100-00008E020000}"/>
    <hyperlink ref="E714" r:id="rId656" xr:uid="{00000000-0004-0000-0100-00008F020000}"/>
    <hyperlink ref="E276" r:id="rId657" xr:uid="{00000000-0004-0000-0100-000090020000}"/>
    <hyperlink ref="E696" r:id="rId658" xr:uid="{00000000-0004-0000-0100-000091020000}"/>
    <hyperlink ref="D200" r:id="rId659" xr:uid="{00000000-0004-0000-0100-000092020000}"/>
    <hyperlink ref="E200" r:id="rId660" xr:uid="{00000000-0004-0000-0100-000093020000}"/>
    <hyperlink ref="E698" r:id="rId661" xr:uid="{00000000-0004-0000-0100-000094020000}"/>
    <hyperlink ref="E699" r:id="rId662" xr:uid="{00000000-0004-0000-0100-000095020000}"/>
    <hyperlink ref="D870" r:id="rId663" xr:uid="{00000000-0004-0000-0100-000096020000}"/>
    <hyperlink ref="E870" r:id="rId664" xr:uid="{00000000-0004-0000-0100-000097020000}"/>
    <hyperlink ref="E1267" r:id="rId665" xr:uid="{00000000-0004-0000-0100-000098020000}"/>
    <hyperlink ref="D1249" r:id="rId666" xr:uid="{00000000-0004-0000-0100-000099020000}"/>
    <hyperlink ref="E1249" r:id="rId667" xr:uid="{00000000-0004-0000-0100-00009A020000}"/>
    <hyperlink ref="E128" r:id="rId668" xr:uid="{00000000-0004-0000-0100-00009B020000}"/>
    <hyperlink ref="E709" r:id="rId669" xr:uid="{00000000-0004-0000-0100-00009C020000}"/>
    <hyperlink ref="E706" r:id="rId670" xr:uid="{00000000-0004-0000-0100-00009D020000}"/>
    <hyperlink ref="E547" r:id="rId671" xr:uid="{00000000-0004-0000-0100-00009E020000}"/>
    <hyperlink ref="E708" r:id="rId672" xr:uid="{00000000-0004-0000-0100-00009F020000}"/>
    <hyperlink ref="E1250" r:id="rId673" xr:uid="{00000000-0004-0000-0100-0000A0020000}"/>
    <hyperlink ref="E264" r:id="rId674" xr:uid="{00000000-0004-0000-0100-0000A1020000}"/>
    <hyperlink ref="E712" r:id="rId675" xr:uid="{00000000-0004-0000-0100-0000A2020000}"/>
    <hyperlink ref="E1064" r:id="rId676" xr:uid="{00000000-0004-0000-0100-0000A3020000}"/>
    <hyperlink ref="E348" r:id="rId677" xr:uid="{00000000-0004-0000-0100-0000A4020000}"/>
    <hyperlink ref="E689" r:id="rId678" xr:uid="{00000000-0004-0000-0100-0000A5020000}"/>
    <hyperlink ref="E716" r:id="rId679" xr:uid="{00000000-0004-0000-0100-0000A6020000}"/>
    <hyperlink ref="E910" r:id="rId680" xr:uid="{00000000-0004-0000-0100-0000A7020000}"/>
    <hyperlink ref="E718" r:id="rId681" xr:uid="{00000000-0004-0000-0100-0000A8020000}"/>
    <hyperlink ref="E719" r:id="rId682" xr:uid="{00000000-0004-0000-0100-0000A9020000}"/>
    <hyperlink ref="E720" r:id="rId683" xr:uid="{00000000-0004-0000-0100-0000AA020000}"/>
    <hyperlink ref="E1211" r:id="rId684" xr:uid="{00000000-0004-0000-0100-0000AB020000}"/>
    <hyperlink ref="E722" r:id="rId685" xr:uid="{00000000-0004-0000-0100-0000AC020000}"/>
    <hyperlink ref="E465" r:id="rId686" xr:uid="{00000000-0004-0000-0100-0000AD020000}"/>
    <hyperlink ref="E724" r:id="rId687" xr:uid="{00000000-0004-0000-0100-0000AE020000}"/>
    <hyperlink ref="E725" r:id="rId688" xr:uid="{00000000-0004-0000-0100-0000AF020000}"/>
    <hyperlink ref="E726" r:id="rId689" xr:uid="{00000000-0004-0000-0100-0000B0020000}"/>
    <hyperlink ref="E91" r:id="rId690" xr:uid="{00000000-0004-0000-0100-0000B1020000}"/>
    <hyperlink ref="E177" r:id="rId691" xr:uid="{00000000-0004-0000-0100-0000B2020000}"/>
    <hyperlink ref="E247" r:id="rId692" xr:uid="{00000000-0004-0000-0100-0000B3020000}"/>
    <hyperlink ref="E320" r:id="rId693" xr:uid="{00000000-0004-0000-0100-0000B4020000}"/>
    <hyperlink ref="E158" r:id="rId694" xr:uid="{00000000-0004-0000-0100-0000B5020000}"/>
    <hyperlink ref="E732" r:id="rId695" xr:uid="{00000000-0004-0000-0100-0000B6020000}"/>
    <hyperlink ref="E733" r:id="rId696" xr:uid="{00000000-0004-0000-0100-0000B7020000}"/>
    <hyperlink ref="E734" r:id="rId697" xr:uid="{00000000-0004-0000-0100-0000B8020000}"/>
    <hyperlink ref="E735" r:id="rId698" xr:uid="{00000000-0004-0000-0100-0000B9020000}"/>
    <hyperlink ref="E736" r:id="rId699" xr:uid="{00000000-0004-0000-0100-0000BA020000}"/>
    <hyperlink ref="E737" r:id="rId700" xr:uid="{00000000-0004-0000-0100-0000BB020000}"/>
    <hyperlink ref="E308" r:id="rId701" xr:uid="{00000000-0004-0000-0100-0000BC020000}"/>
    <hyperlink ref="E739" r:id="rId702" xr:uid="{00000000-0004-0000-0100-0000BD020000}"/>
    <hyperlink ref="E740" r:id="rId703" xr:uid="{00000000-0004-0000-0100-0000BE020000}"/>
    <hyperlink ref="E741" r:id="rId704" xr:uid="{00000000-0004-0000-0100-0000BF020000}"/>
    <hyperlink ref="E742" r:id="rId705" xr:uid="{00000000-0004-0000-0100-0000C0020000}"/>
    <hyperlink ref="E743" r:id="rId706" xr:uid="{00000000-0004-0000-0100-0000C1020000}"/>
    <hyperlink ref="E744" r:id="rId707" xr:uid="{00000000-0004-0000-0100-0000C2020000}"/>
    <hyperlink ref="E745" r:id="rId708" xr:uid="{00000000-0004-0000-0100-0000C3020000}"/>
    <hyperlink ref="E746" r:id="rId709" xr:uid="{00000000-0004-0000-0100-0000C4020000}"/>
    <hyperlink ref="E748" r:id="rId710" xr:uid="{00000000-0004-0000-0100-0000C5020000}"/>
    <hyperlink ref="E749" r:id="rId711" xr:uid="{00000000-0004-0000-0100-0000C6020000}"/>
    <hyperlink ref="D439" r:id="rId712" xr:uid="{00000000-0004-0000-0100-0000C7020000}"/>
    <hyperlink ref="E439" r:id="rId713" xr:uid="{00000000-0004-0000-0100-0000C8020000}"/>
    <hyperlink ref="E751" r:id="rId714" xr:uid="{00000000-0004-0000-0100-0000C9020000}"/>
    <hyperlink ref="E752" r:id="rId715" xr:uid="{00000000-0004-0000-0100-0000CA020000}"/>
    <hyperlink ref="E753" r:id="rId716" xr:uid="{00000000-0004-0000-0100-0000CB020000}"/>
    <hyperlink ref="E329" r:id="rId717" xr:uid="{00000000-0004-0000-0100-0000CC020000}"/>
    <hyperlink ref="E755" r:id="rId718" xr:uid="{00000000-0004-0000-0100-0000CD020000}"/>
    <hyperlink ref="E656" r:id="rId719" xr:uid="{00000000-0004-0000-0100-0000CE020000}"/>
    <hyperlink ref="E757" r:id="rId720" xr:uid="{00000000-0004-0000-0100-0000CF020000}"/>
    <hyperlink ref="E758" r:id="rId721" xr:uid="{00000000-0004-0000-0100-0000D0020000}"/>
    <hyperlink ref="E262" r:id="rId722" xr:uid="{00000000-0004-0000-0100-0000D1020000}"/>
    <hyperlink ref="E760" r:id="rId723" xr:uid="{00000000-0004-0000-0100-0000D2020000}"/>
    <hyperlink ref="E761" r:id="rId724" xr:uid="{00000000-0004-0000-0100-0000D3020000}"/>
    <hyperlink ref="E731" r:id="rId725" xr:uid="{00000000-0004-0000-0100-0000D4020000}"/>
    <hyperlink ref="E747" r:id="rId726" xr:uid="{00000000-0004-0000-0100-0000D5020000}"/>
    <hyperlink ref="E764" r:id="rId727" xr:uid="{00000000-0004-0000-0100-0000D6020000}"/>
    <hyperlink ref="E765" r:id="rId728" xr:uid="{00000000-0004-0000-0100-0000D7020000}"/>
    <hyperlink ref="E694" r:id="rId729" xr:uid="{00000000-0004-0000-0100-0000D8020000}"/>
    <hyperlink ref="E767" r:id="rId730" xr:uid="{00000000-0004-0000-0100-0000D9020000}"/>
    <hyperlink ref="E992" r:id="rId731" xr:uid="{00000000-0004-0000-0100-0000DA020000}"/>
    <hyperlink ref="E1072" r:id="rId732" xr:uid="{00000000-0004-0000-0100-0000DB020000}"/>
    <hyperlink ref="E571" r:id="rId733" xr:uid="{00000000-0004-0000-0100-0000DC020000}"/>
    <hyperlink ref="E210" r:id="rId734" xr:uid="{00000000-0004-0000-0100-0000DD020000}"/>
    <hyperlink ref="E1236" r:id="rId735" xr:uid="{00000000-0004-0000-0100-0000DE020000}"/>
    <hyperlink ref="E774" r:id="rId736" xr:uid="{00000000-0004-0000-0100-0000DF020000}"/>
    <hyperlink ref="E700" r:id="rId737" xr:uid="{00000000-0004-0000-0100-0000E0020000}"/>
    <hyperlink ref="E776" r:id="rId738" xr:uid="{00000000-0004-0000-0100-0000E1020000}"/>
    <hyperlink ref="E778" r:id="rId739" xr:uid="{00000000-0004-0000-0100-0000E2020000}"/>
    <hyperlink ref="E779" r:id="rId740" xr:uid="{00000000-0004-0000-0100-0000E3020000}"/>
    <hyperlink ref="E780" r:id="rId741" xr:uid="{00000000-0004-0000-0100-0000E4020000}"/>
    <hyperlink ref="E1008" r:id="rId742" xr:uid="{00000000-0004-0000-0100-0000E5020000}"/>
    <hyperlink ref="I1008" r:id="rId743" xr:uid="{00000000-0004-0000-0100-0000E6020000}"/>
    <hyperlink ref="E242" r:id="rId744" xr:uid="{00000000-0004-0000-0100-0000E7020000}"/>
    <hyperlink ref="E783" r:id="rId745" xr:uid="{00000000-0004-0000-0100-0000E8020000}"/>
    <hyperlink ref="E784" r:id="rId746" xr:uid="{00000000-0004-0000-0100-0000E9020000}"/>
    <hyperlink ref="E785" r:id="rId747" xr:uid="{00000000-0004-0000-0100-0000EA020000}"/>
    <hyperlink ref="E786" r:id="rId748" xr:uid="{00000000-0004-0000-0100-0000EB020000}"/>
    <hyperlink ref="E787" r:id="rId749" xr:uid="{00000000-0004-0000-0100-0000EC020000}"/>
    <hyperlink ref="E788" r:id="rId750" xr:uid="{00000000-0004-0000-0100-0000ED020000}"/>
    <hyperlink ref="E624" r:id="rId751" xr:uid="{00000000-0004-0000-0100-0000EE020000}"/>
    <hyperlink ref="E790" r:id="rId752" xr:uid="{00000000-0004-0000-0100-0000EF020000}"/>
    <hyperlink ref="E791" r:id="rId753" xr:uid="{00000000-0004-0000-0100-0000F0020000}"/>
    <hyperlink ref="E617" r:id="rId754" xr:uid="{00000000-0004-0000-0100-0000F1020000}"/>
    <hyperlink ref="E596" r:id="rId755" xr:uid="{00000000-0004-0000-0100-0000F2020000}"/>
    <hyperlink ref="E1002" r:id="rId756" xr:uid="{00000000-0004-0000-0100-0000F3020000}"/>
    <hyperlink ref="E796" r:id="rId757" xr:uid="{00000000-0004-0000-0100-0000F4020000}"/>
    <hyperlink ref="E797" r:id="rId758" xr:uid="{00000000-0004-0000-0100-0000F5020000}"/>
    <hyperlink ref="E798" r:id="rId759" xr:uid="{00000000-0004-0000-0100-0000F6020000}"/>
    <hyperlink ref="E799" r:id="rId760" xr:uid="{00000000-0004-0000-0100-0000F7020000}"/>
    <hyperlink ref="E478" r:id="rId761" xr:uid="{00000000-0004-0000-0100-0000F8020000}"/>
    <hyperlink ref="E801" r:id="rId762" xr:uid="{00000000-0004-0000-0100-0000F9020000}"/>
    <hyperlink ref="D968" r:id="rId763" xr:uid="{00000000-0004-0000-0100-0000FA020000}"/>
    <hyperlink ref="E968" r:id="rId764" xr:uid="{00000000-0004-0000-0100-0000FB020000}"/>
    <hyperlink ref="E803" r:id="rId765" xr:uid="{00000000-0004-0000-0100-0000FC020000}"/>
    <hyperlink ref="E192" r:id="rId766" xr:uid="{00000000-0004-0000-0100-0000FD020000}"/>
    <hyperlink ref="E805" r:id="rId767" xr:uid="{00000000-0004-0000-0100-0000FE020000}"/>
    <hyperlink ref="E806" r:id="rId768" xr:uid="{00000000-0004-0000-0100-0000FF020000}"/>
    <hyperlink ref="E807" r:id="rId769" xr:uid="{00000000-0004-0000-0100-000000030000}"/>
    <hyperlink ref="E809" r:id="rId770" xr:uid="{00000000-0004-0000-0100-000001030000}"/>
    <hyperlink ref="E810" r:id="rId771" xr:uid="{00000000-0004-0000-0100-000002030000}"/>
    <hyperlink ref="E811" r:id="rId772" xr:uid="{00000000-0004-0000-0100-000003030000}"/>
    <hyperlink ref="E812" r:id="rId773" xr:uid="{00000000-0004-0000-0100-000004030000}"/>
    <hyperlink ref="E813" r:id="rId774" xr:uid="{00000000-0004-0000-0100-000005030000}"/>
    <hyperlink ref="D814" r:id="rId775" xr:uid="{00000000-0004-0000-0100-000006030000}"/>
    <hyperlink ref="E814" r:id="rId776" xr:uid="{00000000-0004-0000-0100-000007030000}"/>
    <hyperlink ref="E815" r:id="rId777" xr:uid="{00000000-0004-0000-0100-000008030000}"/>
    <hyperlink ref="E816" r:id="rId778" xr:uid="{00000000-0004-0000-0100-000009030000}"/>
    <hyperlink ref="E1234" r:id="rId779" xr:uid="{00000000-0004-0000-0100-00000A030000}"/>
    <hyperlink ref="E819" r:id="rId780" xr:uid="{00000000-0004-0000-0100-00000B030000}"/>
    <hyperlink ref="E820" r:id="rId781" xr:uid="{00000000-0004-0000-0100-00000C030000}"/>
    <hyperlink ref="E548" r:id="rId782" xr:uid="{00000000-0004-0000-0100-00000D030000}"/>
    <hyperlink ref="E1255" r:id="rId783" xr:uid="{00000000-0004-0000-0100-00000E030000}"/>
    <hyperlink ref="E824" r:id="rId784" xr:uid="{00000000-0004-0000-0100-00000F030000}"/>
    <hyperlink ref="E321" r:id="rId785" xr:uid="{00000000-0004-0000-0100-000010030000}"/>
    <hyperlink ref="E826" r:id="rId786" xr:uid="{00000000-0004-0000-0100-000011030000}"/>
    <hyperlink ref="E855" r:id="rId787" xr:uid="{00000000-0004-0000-0100-000012030000}"/>
    <hyperlink ref="E829" r:id="rId788" xr:uid="{00000000-0004-0000-0100-000013030000}"/>
    <hyperlink ref="E173" r:id="rId789" xr:uid="{00000000-0004-0000-0100-000014030000}"/>
    <hyperlink ref="E422" r:id="rId790" xr:uid="{00000000-0004-0000-0100-000015030000}"/>
    <hyperlink ref="E1264" r:id="rId791" xr:uid="{00000000-0004-0000-0100-000016030000}"/>
    <hyperlink ref="E440" r:id="rId792" xr:uid="{00000000-0004-0000-0100-000017030000}"/>
    <hyperlink ref="E834" r:id="rId793" xr:uid="{00000000-0004-0000-0100-000018030000}"/>
    <hyperlink ref="E835" r:id="rId794" xr:uid="{00000000-0004-0000-0100-000019030000}"/>
    <hyperlink ref="E638" r:id="rId795" xr:uid="{00000000-0004-0000-0100-00001A030000}"/>
    <hyperlink ref="E837" r:id="rId796" xr:uid="{00000000-0004-0000-0100-00001B030000}"/>
    <hyperlink ref="E282" r:id="rId797" xr:uid="{00000000-0004-0000-0100-00001C030000}"/>
    <hyperlink ref="E839" r:id="rId798" xr:uid="{00000000-0004-0000-0100-00001D030000}"/>
    <hyperlink ref="E840" r:id="rId799" xr:uid="{00000000-0004-0000-0100-00001E030000}"/>
    <hyperlink ref="E1221" r:id="rId800" xr:uid="{00000000-0004-0000-0100-00001F030000}"/>
    <hyperlink ref="E653" r:id="rId801" xr:uid="{00000000-0004-0000-0100-000020030000}"/>
    <hyperlink ref="E843" r:id="rId802" xr:uid="{00000000-0004-0000-0100-000021030000}"/>
    <hyperlink ref="E844" r:id="rId803" xr:uid="{00000000-0004-0000-0100-000022030000}"/>
    <hyperlink ref="E1044" r:id="rId804" xr:uid="{00000000-0004-0000-0100-000023030000}"/>
    <hyperlink ref="D1257" r:id="rId805" xr:uid="{00000000-0004-0000-0100-000024030000}"/>
    <hyperlink ref="E1257" r:id="rId806" xr:uid="{00000000-0004-0000-0100-000025030000}"/>
    <hyperlink ref="E1243" r:id="rId807" xr:uid="{00000000-0004-0000-0100-000026030000}"/>
    <hyperlink ref="E848" r:id="rId808" xr:uid="{00000000-0004-0000-0100-000027030000}"/>
    <hyperlink ref="E849" r:id="rId809" xr:uid="{00000000-0004-0000-0100-000028030000}"/>
    <hyperlink ref="E851" r:id="rId810" xr:uid="{00000000-0004-0000-0100-000029030000}"/>
    <hyperlink ref="E1214" r:id="rId811" xr:uid="{00000000-0004-0000-0100-00002A030000}"/>
    <hyperlink ref="E1212" r:id="rId812" xr:uid="{00000000-0004-0000-0100-00002B030000}"/>
    <hyperlink ref="E854" r:id="rId813" xr:uid="{00000000-0004-0000-0100-00002C030000}"/>
    <hyperlink ref="E614" r:id="rId814" xr:uid="{00000000-0004-0000-0100-00002D030000}"/>
    <hyperlink ref="E856" r:id="rId815" xr:uid="{00000000-0004-0000-0100-00002E030000}"/>
    <hyperlink ref="E857" r:id="rId816" xr:uid="{00000000-0004-0000-0100-00002F030000}"/>
    <hyperlink ref="E443" r:id="rId817" xr:uid="{00000000-0004-0000-0100-000030030000}"/>
    <hyperlink ref="E902" r:id="rId818" xr:uid="{00000000-0004-0000-0100-000031030000}"/>
    <hyperlink ref="E860" r:id="rId819" xr:uid="{00000000-0004-0000-0100-000032030000}"/>
    <hyperlink ref="E861" r:id="rId820" xr:uid="{00000000-0004-0000-0100-000033030000}"/>
    <hyperlink ref="E862" r:id="rId821" xr:uid="{00000000-0004-0000-0100-000034030000}"/>
    <hyperlink ref="E338" r:id="rId822" xr:uid="{00000000-0004-0000-0100-000035030000}"/>
    <hyperlink ref="E864" r:id="rId823" xr:uid="{00000000-0004-0000-0100-000036030000}"/>
    <hyperlink ref="E865" r:id="rId824" xr:uid="{00000000-0004-0000-0100-000037030000}"/>
    <hyperlink ref="E866" r:id="rId825" xr:uid="{00000000-0004-0000-0100-000038030000}"/>
    <hyperlink ref="E867" r:id="rId826" xr:uid="{00000000-0004-0000-0100-000039030000}"/>
    <hyperlink ref="E868" r:id="rId827" xr:uid="{00000000-0004-0000-0100-00003A030000}"/>
    <hyperlink ref="E871" r:id="rId828" xr:uid="{00000000-0004-0000-0100-00003B030000}"/>
    <hyperlink ref="E872" r:id="rId829" xr:uid="{00000000-0004-0000-0100-00003C030000}"/>
    <hyperlink ref="E873" r:id="rId830" xr:uid="{00000000-0004-0000-0100-00003D030000}"/>
    <hyperlink ref="E874" r:id="rId831" xr:uid="{00000000-0004-0000-0100-00003E030000}"/>
    <hyperlink ref="E1149" r:id="rId832" xr:uid="{00000000-0004-0000-0100-00003F030000}"/>
    <hyperlink ref="D252" r:id="rId833" xr:uid="{00000000-0004-0000-0100-000040030000}"/>
    <hyperlink ref="E252" r:id="rId834" xr:uid="{00000000-0004-0000-0100-000041030000}"/>
    <hyperlink ref="E877" r:id="rId835" xr:uid="{00000000-0004-0000-0100-000042030000}"/>
    <hyperlink ref="E878" r:id="rId836" xr:uid="{00000000-0004-0000-0100-000043030000}"/>
    <hyperlink ref="E879" r:id="rId837" xr:uid="{00000000-0004-0000-0100-000044030000}"/>
    <hyperlink ref="E880" r:id="rId838" xr:uid="{00000000-0004-0000-0100-000045030000}"/>
    <hyperlink ref="E881" r:id="rId839" xr:uid="{00000000-0004-0000-0100-000046030000}"/>
    <hyperlink ref="E882" r:id="rId840" xr:uid="{00000000-0004-0000-0100-000047030000}"/>
    <hyperlink ref="E883" r:id="rId841" xr:uid="{00000000-0004-0000-0100-000048030000}"/>
    <hyperlink ref="E884" r:id="rId842" xr:uid="{00000000-0004-0000-0100-000049030000}"/>
    <hyperlink ref="E885" r:id="rId843" xr:uid="{00000000-0004-0000-0100-00004A030000}"/>
    <hyperlink ref="E886" r:id="rId844" xr:uid="{00000000-0004-0000-0100-00004B030000}"/>
    <hyperlink ref="E887" r:id="rId845" xr:uid="{00000000-0004-0000-0100-00004C030000}"/>
    <hyperlink ref="E888" r:id="rId846" xr:uid="{00000000-0004-0000-0100-00004D030000}"/>
    <hyperlink ref="E889" r:id="rId847" xr:uid="{00000000-0004-0000-0100-00004E030000}"/>
    <hyperlink ref="E890" r:id="rId848" xr:uid="{00000000-0004-0000-0100-00004F030000}"/>
    <hyperlink ref="E891" r:id="rId849" xr:uid="{00000000-0004-0000-0100-000050030000}"/>
    <hyperlink ref="E892" r:id="rId850" xr:uid="{00000000-0004-0000-0100-000051030000}"/>
    <hyperlink ref="E893" r:id="rId851" xr:uid="{00000000-0004-0000-0100-000052030000}"/>
    <hyperlink ref="E327" r:id="rId852" xr:uid="{00000000-0004-0000-0100-000053030000}"/>
    <hyperlink ref="E781" r:id="rId853" xr:uid="{00000000-0004-0000-0100-000054030000}"/>
    <hyperlink ref="E897" r:id="rId854" xr:uid="{00000000-0004-0000-0100-000055030000}"/>
    <hyperlink ref="E1128" r:id="rId855" xr:uid="{00000000-0004-0000-0100-000056030000}"/>
    <hyperlink ref="E899" r:id="rId856" xr:uid="{00000000-0004-0000-0100-000057030000}"/>
    <hyperlink ref="E900" r:id="rId857" xr:uid="{00000000-0004-0000-0100-000058030000}"/>
    <hyperlink ref="E901" r:id="rId858" xr:uid="{00000000-0004-0000-0100-000059030000}"/>
    <hyperlink ref="E793" r:id="rId859" xr:uid="{00000000-0004-0000-0100-00005A030000}"/>
    <hyperlink ref="E153" r:id="rId860" xr:uid="{00000000-0004-0000-0100-00005B030000}"/>
    <hyperlink ref="E309" r:id="rId861" xr:uid="{00000000-0004-0000-0100-00005C030000}"/>
    <hyperlink ref="E905" r:id="rId862" xr:uid="{00000000-0004-0000-0100-00005D030000}"/>
    <hyperlink ref="E310" r:id="rId863" xr:uid="{00000000-0004-0000-0100-00005E030000}"/>
    <hyperlink ref="E794" r:id="rId864" xr:uid="{00000000-0004-0000-0100-00005F030000}"/>
    <hyperlink ref="E908" r:id="rId865" xr:uid="{00000000-0004-0000-0100-000060030000}"/>
    <hyperlink ref="E909" r:id="rId866" xr:uid="{00000000-0004-0000-0100-000061030000}"/>
    <hyperlink ref="E945" r:id="rId867" xr:uid="{00000000-0004-0000-0100-000062030000}"/>
    <hyperlink ref="E636" r:id="rId868" xr:uid="{00000000-0004-0000-0100-000063030000}"/>
    <hyperlink ref="E912" r:id="rId869" xr:uid="{00000000-0004-0000-0100-000064030000}"/>
    <hyperlink ref="E914" r:id="rId870" xr:uid="{00000000-0004-0000-0100-000065030000}"/>
    <hyperlink ref="E915" r:id="rId871" xr:uid="{00000000-0004-0000-0100-000066030000}"/>
    <hyperlink ref="E916" r:id="rId872" xr:uid="{00000000-0004-0000-0100-000067030000}"/>
    <hyperlink ref="E507" r:id="rId873" xr:uid="{00000000-0004-0000-0100-000068030000}"/>
    <hyperlink ref="E314" r:id="rId874" xr:uid="{00000000-0004-0000-0100-000069030000}"/>
    <hyperlink ref="E919" r:id="rId875" xr:uid="{00000000-0004-0000-0100-00006A030000}"/>
    <hyperlink ref="E920" r:id="rId876" xr:uid="{00000000-0004-0000-0100-00006B030000}"/>
    <hyperlink ref="E921" r:id="rId877" xr:uid="{00000000-0004-0000-0100-00006C030000}"/>
    <hyperlink ref="E1042" r:id="rId878" xr:uid="{00000000-0004-0000-0100-00006D030000}"/>
    <hyperlink ref="E923" r:id="rId879" xr:uid="{00000000-0004-0000-0100-00006E030000}"/>
    <hyperlink ref="E697" r:id="rId880" xr:uid="{00000000-0004-0000-0100-00006F030000}"/>
    <hyperlink ref="E925" r:id="rId881" xr:uid="{00000000-0004-0000-0100-000070030000}"/>
    <hyperlink ref="E926" r:id="rId882" xr:uid="{00000000-0004-0000-0100-000071030000}"/>
    <hyperlink ref="E362" r:id="rId883" xr:uid="{00000000-0004-0000-0100-000072030000}"/>
    <hyperlink ref="E928" r:id="rId884" xr:uid="{00000000-0004-0000-0100-000073030000}"/>
    <hyperlink ref="E929" r:id="rId885" xr:uid="{00000000-0004-0000-0100-000074030000}"/>
    <hyperlink ref="E930" r:id="rId886" xr:uid="{00000000-0004-0000-0100-000075030000}"/>
    <hyperlink ref="E931" r:id="rId887" xr:uid="{00000000-0004-0000-0100-000076030000}"/>
    <hyperlink ref="E772" r:id="rId888" xr:uid="{00000000-0004-0000-0100-000077030000}"/>
    <hyperlink ref="E933" r:id="rId889" xr:uid="{00000000-0004-0000-0100-000078030000}"/>
    <hyperlink ref="E934" r:id="rId890" xr:uid="{00000000-0004-0000-0100-000079030000}"/>
    <hyperlink ref="E935" r:id="rId891" xr:uid="{00000000-0004-0000-0100-00007A030000}"/>
    <hyperlink ref="E937" r:id="rId892" xr:uid="{00000000-0004-0000-0100-00007B030000}"/>
    <hyperlink ref="E345" r:id="rId893" xr:uid="{00000000-0004-0000-0100-00007C030000}"/>
    <hyperlink ref="E939" r:id="rId894" xr:uid="{00000000-0004-0000-0100-00007D030000}"/>
    <hyperlink ref="E940" r:id="rId895" xr:uid="{00000000-0004-0000-0100-00007E030000}"/>
    <hyperlink ref="E941" r:id="rId896" xr:uid="{00000000-0004-0000-0100-00007F030000}"/>
    <hyperlink ref="E942" r:id="rId897" xr:uid="{00000000-0004-0000-0100-000080030000}"/>
    <hyperlink ref="E795" r:id="rId898" xr:uid="{00000000-0004-0000-0100-000081030000}"/>
    <hyperlink ref="E944" r:id="rId899" xr:uid="{00000000-0004-0000-0100-000082030000}"/>
    <hyperlink ref="I944" r:id="rId900" xr:uid="{00000000-0004-0000-0100-000083030000}"/>
    <hyperlink ref="D754" r:id="rId901" xr:uid="{00000000-0004-0000-0100-000084030000}"/>
    <hyperlink ref="E754" r:id="rId902" xr:uid="{00000000-0004-0000-0100-000085030000}"/>
    <hyperlink ref="E946" r:id="rId903" xr:uid="{00000000-0004-0000-0100-000086030000}"/>
    <hyperlink ref="E1224" r:id="rId904" xr:uid="{00000000-0004-0000-0100-000087030000}"/>
    <hyperlink ref="E948" r:id="rId905" xr:uid="{00000000-0004-0000-0100-000088030000}"/>
    <hyperlink ref="E949" r:id="rId906" xr:uid="{00000000-0004-0000-0100-000089030000}"/>
    <hyperlink ref="E950" r:id="rId907" xr:uid="{00000000-0004-0000-0100-00008A030000}"/>
    <hyperlink ref="E951" r:id="rId908" xr:uid="{00000000-0004-0000-0100-00008B030000}"/>
    <hyperlink ref="E953" r:id="rId909" xr:uid="{00000000-0004-0000-0100-00008C030000}"/>
    <hyperlink ref="E954" r:id="rId910" xr:uid="{00000000-0004-0000-0100-00008D030000}"/>
    <hyperlink ref="E955" r:id="rId911" xr:uid="{00000000-0004-0000-0100-00008E030000}"/>
    <hyperlink ref="E956" r:id="rId912" xr:uid="{00000000-0004-0000-0100-00008F030000}"/>
    <hyperlink ref="E957" r:id="rId913" xr:uid="{00000000-0004-0000-0100-000090030000}"/>
    <hyperlink ref="E958" r:id="rId914" xr:uid="{00000000-0004-0000-0100-000091030000}"/>
    <hyperlink ref="E959" r:id="rId915" xr:uid="{00000000-0004-0000-0100-000092030000}"/>
    <hyperlink ref="E960" r:id="rId916" xr:uid="{00000000-0004-0000-0100-000093030000}"/>
    <hyperlink ref="E961" r:id="rId917" xr:uid="{00000000-0004-0000-0100-000094030000}"/>
    <hyperlink ref="E962" r:id="rId918" xr:uid="{00000000-0004-0000-0100-000095030000}"/>
    <hyperlink ref="E167" r:id="rId919" xr:uid="{00000000-0004-0000-0100-000096030000}"/>
    <hyperlink ref="E964" r:id="rId920" xr:uid="{00000000-0004-0000-0100-000097030000}"/>
    <hyperlink ref="E965" r:id="rId921" xr:uid="{00000000-0004-0000-0100-000098030000}"/>
    <hyperlink ref="E966" r:id="rId922" xr:uid="{00000000-0004-0000-0100-000099030000}"/>
    <hyperlink ref="E967" r:id="rId923" xr:uid="{00000000-0004-0000-0100-00009A030000}"/>
    <hyperlink ref="E823" r:id="rId924" xr:uid="{00000000-0004-0000-0100-00009B030000}"/>
    <hyperlink ref="D969" r:id="rId925" xr:uid="{00000000-0004-0000-0100-00009C030000}"/>
    <hyperlink ref="E969" r:id="rId926" xr:uid="{00000000-0004-0000-0100-00009D030000}"/>
    <hyperlink ref="E970" r:id="rId927" xr:uid="{00000000-0004-0000-0100-00009E030000}"/>
    <hyperlink ref="E971" r:id="rId928" xr:uid="{00000000-0004-0000-0100-00009F030000}"/>
    <hyperlink ref="E972" r:id="rId929" xr:uid="{00000000-0004-0000-0100-0000A0030000}"/>
    <hyperlink ref="E973" r:id="rId930" xr:uid="{00000000-0004-0000-0100-0000A1030000}"/>
    <hyperlink ref="E558" r:id="rId931" xr:uid="{00000000-0004-0000-0100-0000A2030000}"/>
    <hyperlink ref="E975" r:id="rId932" xr:uid="{00000000-0004-0000-0100-0000A3030000}"/>
    <hyperlink ref="E976" r:id="rId933" xr:uid="{00000000-0004-0000-0100-0000A4030000}"/>
    <hyperlink ref="E977" r:id="rId934" xr:uid="{00000000-0004-0000-0100-0000A5030000}"/>
    <hyperlink ref="E978" r:id="rId935" xr:uid="{00000000-0004-0000-0100-0000A6030000}"/>
    <hyperlink ref="E979" r:id="rId936" xr:uid="{00000000-0004-0000-0100-0000A7030000}"/>
    <hyperlink ref="E980" r:id="rId937" xr:uid="{00000000-0004-0000-0100-0000A8030000}"/>
    <hyperlink ref="E280" r:id="rId938" xr:uid="{00000000-0004-0000-0100-0000A9030000}"/>
    <hyperlink ref="E983" r:id="rId939" xr:uid="{00000000-0004-0000-0100-0000AA030000}"/>
    <hyperlink ref="E984" r:id="rId940" xr:uid="{00000000-0004-0000-0100-0000AB030000}"/>
    <hyperlink ref="E985" r:id="rId941" xr:uid="{00000000-0004-0000-0100-0000AC030000}"/>
    <hyperlink ref="E986" r:id="rId942" xr:uid="{00000000-0004-0000-0100-0000AD030000}"/>
    <hyperlink ref="E988" r:id="rId943" xr:uid="{00000000-0004-0000-0100-0000AE030000}"/>
    <hyperlink ref="E569" r:id="rId944" xr:uid="{00000000-0004-0000-0100-0000AF030000}"/>
    <hyperlink ref="E990" r:id="rId945" xr:uid="{00000000-0004-0000-0100-0000B0030000}"/>
    <hyperlink ref="E991" r:id="rId946" xr:uid="{00000000-0004-0000-0100-0000B1030000}"/>
    <hyperlink ref="E170" r:id="rId947" xr:uid="{00000000-0004-0000-0100-0000B2030000}"/>
    <hyperlink ref="D994" r:id="rId948" xr:uid="{00000000-0004-0000-0100-0000B3030000}"/>
    <hyperlink ref="E994" r:id="rId949" xr:uid="{00000000-0004-0000-0100-0000B4030000}"/>
    <hyperlink ref="E463" r:id="rId950" xr:uid="{00000000-0004-0000-0100-0000B5030000}"/>
    <hyperlink ref="E326" r:id="rId951" xr:uid="{00000000-0004-0000-0100-0000B6030000}"/>
    <hyperlink ref="E997" r:id="rId952" xr:uid="{00000000-0004-0000-0100-0000B7030000}"/>
    <hyperlink ref="E998" r:id="rId953" xr:uid="{00000000-0004-0000-0100-0000B8030000}"/>
    <hyperlink ref="E999" r:id="rId954" xr:uid="{00000000-0004-0000-0100-0000B9030000}"/>
    <hyperlink ref="E768" r:id="rId955" xr:uid="{00000000-0004-0000-0100-0000BA030000}"/>
    <hyperlink ref="E1001" r:id="rId956" xr:uid="{00000000-0004-0000-0100-0000BB030000}"/>
    <hyperlink ref="E635" r:id="rId957" xr:uid="{00000000-0004-0000-0100-0000BC030000}"/>
    <hyperlink ref="E1003" r:id="rId958" xr:uid="{00000000-0004-0000-0100-0000BD030000}"/>
    <hyperlink ref="E195" r:id="rId959" xr:uid="{00000000-0004-0000-0100-0000BE030000}"/>
    <hyperlink ref="E1009" r:id="rId960" xr:uid="{00000000-0004-0000-0100-0000BF030000}"/>
    <hyperlink ref="E1006" r:id="rId961" xr:uid="{00000000-0004-0000-0100-0000C0030000}"/>
    <hyperlink ref="E1007" r:id="rId962" xr:uid="{00000000-0004-0000-0100-0000C1030000}"/>
    <hyperlink ref="E1011" r:id="rId963" xr:uid="{00000000-0004-0000-0100-0000C2030000}"/>
    <hyperlink ref="E1095" r:id="rId964" xr:uid="{00000000-0004-0000-0100-0000C3030000}"/>
    <hyperlink ref="E1013" r:id="rId965" xr:uid="{00000000-0004-0000-0100-0000C4030000}"/>
    <hyperlink ref="E1014" r:id="rId966" xr:uid="{00000000-0004-0000-0100-0000C5030000}"/>
    <hyperlink ref="E421" r:id="rId967" xr:uid="{00000000-0004-0000-0100-0000C6030000}"/>
    <hyperlink ref="E1016" r:id="rId968" xr:uid="{00000000-0004-0000-0100-0000C7030000}"/>
    <hyperlink ref="E1252" r:id="rId969" xr:uid="{00000000-0004-0000-0100-0000C8030000}"/>
    <hyperlink ref="E1018" r:id="rId970" xr:uid="{00000000-0004-0000-0100-0000C9030000}"/>
    <hyperlink ref="E1019" r:id="rId971" xr:uid="{00000000-0004-0000-0100-0000CA030000}"/>
    <hyperlink ref="E1020" r:id="rId972" xr:uid="{00000000-0004-0000-0100-0000CB030000}"/>
    <hyperlink ref="E1021" r:id="rId973" xr:uid="{00000000-0004-0000-0100-0000CC030000}"/>
    <hyperlink ref="E526" r:id="rId974" xr:uid="{00000000-0004-0000-0100-0000CD030000}"/>
    <hyperlink ref="E236" r:id="rId975" xr:uid="{00000000-0004-0000-0100-0000CE030000}"/>
    <hyperlink ref="E1025" r:id="rId976" xr:uid="{00000000-0004-0000-0100-0000CF030000}"/>
    <hyperlink ref="E1026" r:id="rId977" xr:uid="{00000000-0004-0000-0100-0000D0030000}"/>
    <hyperlink ref="E1027" r:id="rId978" xr:uid="{00000000-0004-0000-0100-0000D1030000}"/>
    <hyperlink ref="E1028" r:id="rId979" xr:uid="{00000000-0004-0000-0100-0000D2030000}"/>
    <hyperlink ref="E1029" r:id="rId980" xr:uid="{00000000-0004-0000-0100-0000D3030000}"/>
    <hyperlink ref="E1030" r:id="rId981" xr:uid="{00000000-0004-0000-0100-0000D4030000}"/>
    <hyperlink ref="E1196" r:id="rId982" xr:uid="{00000000-0004-0000-0100-0000D5030000}"/>
    <hyperlink ref="E729" r:id="rId983" xr:uid="{00000000-0004-0000-0100-0000D6030000}"/>
    <hyperlink ref="E1033" r:id="rId984" xr:uid="{00000000-0004-0000-0100-0000D7030000}"/>
    <hyperlink ref="E1034" r:id="rId985" xr:uid="{00000000-0004-0000-0100-0000D8030000}"/>
    <hyperlink ref="E129" r:id="rId986" xr:uid="{00000000-0004-0000-0100-0000D9030000}"/>
    <hyperlink ref="E287" r:id="rId987" xr:uid="{00000000-0004-0000-0100-0000DA030000}"/>
    <hyperlink ref="E693" r:id="rId988" xr:uid="{00000000-0004-0000-0100-0000DB030000}"/>
    <hyperlink ref="E1038" r:id="rId989" xr:uid="{00000000-0004-0000-0100-0000DC030000}"/>
    <hyperlink ref="E1039" r:id="rId990" xr:uid="{00000000-0004-0000-0100-0000DD030000}"/>
    <hyperlink ref="E417" r:id="rId991" xr:uid="{00000000-0004-0000-0100-0000DE030000}"/>
    <hyperlink ref="E1217" r:id="rId992" xr:uid="{00000000-0004-0000-0100-0000DF030000}"/>
    <hyperlink ref="D673" r:id="rId993" xr:uid="{00000000-0004-0000-0100-0000E0030000}"/>
    <hyperlink ref="E673" r:id="rId994" xr:uid="{00000000-0004-0000-0100-0000E1030000}"/>
    <hyperlink ref="E692" r:id="rId995" xr:uid="{00000000-0004-0000-0100-0000E2030000}"/>
    <hyperlink ref="E1239" r:id="rId996" xr:uid="{00000000-0004-0000-0100-0000E3030000}"/>
    <hyperlink ref="E1259" r:id="rId997" xr:uid="{00000000-0004-0000-0100-0000E4030000}"/>
    <hyperlink ref="E194" r:id="rId998" xr:uid="{00000000-0004-0000-0100-0000E5030000}"/>
    <hyperlink ref="E852" r:id="rId999" xr:uid="{00000000-0004-0000-0100-0000E6030000}"/>
    <hyperlink ref="E1049" r:id="rId1000" xr:uid="{00000000-0004-0000-0100-0000E7030000}"/>
    <hyperlink ref="E1050" r:id="rId1001" xr:uid="{00000000-0004-0000-0100-0000E8030000}"/>
    <hyperlink ref="E1051" r:id="rId1002" xr:uid="{00000000-0004-0000-0100-0000E9030000}"/>
    <hyperlink ref="E277" r:id="rId1003" xr:uid="{00000000-0004-0000-0100-0000EA030000}"/>
    <hyperlink ref="E336" r:id="rId1004" xr:uid="{00000000-0004-0000-0100-0000EB030000}"/>
    <hyperlink ref="E1055" r:id="rId1005" xr:uid="{00000000-0004-0000-0100-0000EC030000}"/>
    <hyperlink ref="E688" r:id="rId1006" xr:uid="{00000000-0004-0000-0100-0000ED030000}"/>
    <hyperlink ref="E1057" r:id="rId1007" xr:uid="{00000000-0004-0000-0100-0000EE030000}"/>
    <hyperlink ref="E1058" r:id="rId1008" xr:uid="{00000000-0004-0000-0100-0000EF030000}"/>
    <hyperlink ref="E1092" r:id="rId1009" xr:uid="{00000000-0004-0000-0100-0000F0030000}"/>
    <hyperlink ref="E1060" r:id="rId1010" xr:uid="{00000000-0004-0000-0100-0000F1030000}"/>
    <hyperlink ref="E1061" r:id="rId1011" xr:uid="{00000000-0004-0000-0100-0000F2030000}"/>
    <hyperlink ref="E253" r:id="rId1012" xr:uid="{00000000-0004-0000-0100-0000F3030000}"/>
    <hyperlink ref="E1040" r:id="rId1013" xr:uid="{00000000-0004-0000-0100-0000F4030000}"/>
    <hyperlink ref="E509" r:id="rId1014" xr:uid="{00000000-0004-0000-0100-0000F5030000}"/>
    <hyperlink ref="E1065" r:id="rId1015" xr:uid="{00000000-0004-0000-0100-0000F6030000}"/>
    <hyperlink ref="E684" r:id="rId1016" xr:uid="{00000000-0004-0000-0100-0000F7030000}"/>
    <hyperlink ref="E1085" r:id="rId1017" xr:uid="{00000000-0004-0000-0100-0000F8030000}"/>
    <hyperlink ref="E1246" r:id="rId1018" xr:uid="{00000000-0004-0000-0100-0000F9030000}"/>
    <hyperlink ref="E1069" r:id="rId1019" xr:uid="{00000000-0004-0000-0100-0000FA030000}"/>
    <hyperlink ref="E1070" r:id="rId1020" xr:uid="{00000000-0004-0000-0100-0000FB030000}"/>
    <hyperlink ref="E1071" r:id="rId1021" xr:uid="{00000000-0004-0000-0100-0000FC030000}"/>
    <hyperlink ref="E351" r:id="rId1022" xr:uid="{00000000-0004-0000-0100-0000FD030000}"/>
    <hyperlink ref="E1238" r:id="rId1023" xr:uid="{00000000-0004-0000-0100-0000FE030000}"/>
    <hyperlink ref="E586" r:id="rId1024" xr:uid="{00000000-0004-0000-0100-0000FF030000}"/>
    <hyperlink ref="E1075" r:id="rId1025" xr:uid="{00000000-0004-0000-0100-000000040000}"/>
    <hyperlink ref="E1270" r:id="rId1026" xr:uid="{00000000-0004-0000-0100-000001040000}"/>
    <hyperlink ref="E609" r:id="rId1027" xr:uid="{00000000-0004-0000-0100-000002040000}"/>
    <hyperlink ref="E1271" r:id="rId1028" xr:uid="{00000000-0004-0000-0100-000003040000}"/>
    <hyperlink ref="D1079" r:id="rId1029" xr:uid="{00000000-0004-0000-0100-000004040000}"/>
    <hyperlink ref="E1079" r:id="rId1030" xr:uid="{00000000-0004-0000-0100-000005040000}"/>
    <hyperlink ref="E333" r:id="rId1031" xr:uid="{00000000-0004-0000-0100-000006040000}"/>
    <hyperlink ref="E1048" r:id="rId1032" xr:uid="{00000000-0004-0000-0100-000007040000}"/>
    <hyperlink ref="E1083" r:id="rId1033" xr:uid="{00000000-0004-0000-0100-000008040000}"/>
    <hyperlink ref="E138" r:id="rId1034" xr:uid="{00000000-0004-0000-0100-000009040000}"/>
    <hyperlink ref="E1043" r:id="rId1035" xr:uid="{00000000-0004-0000-0100-00000A040000}"/>
    <hyperlink ref="E1086" r:id="rId1036" xr:uid="{00000000-0004-0000-0100-00000B040000}"/>
    <hyperlink ref="E1087" r:id="rId1037" xr:uid="{00000000-0004-0000-0100-00000C040000}"/>
    <hyperlink ref="E1156" r:id="rId1038" xr:uid="{00000000-0004-0000-0100-00000D040000}"/>
    <hyperlink ref="E989" r:id="rId1039" xr:uid="{00000000-0004-0000-0100-00000E040000}"/>
    <hyperlink ref="E1017" r:id="rId1040" xr:uid="{00000000-0004-0000-0100-00000F040000}"/>
    <hyperlink ref="E1091" r:id="rId1041" xr:uid="{00000000-0004-0000-0100-000010040000}"/>
    <hyperlink ref="E1093" r:id="rId1042" xr:uid="{00000000-0004-0000-0100-000011040000}"/>
    <hyperlink ref="E261" r:id="rId1043" xr:uid="{00000000-0004-0000-0100-000012040000}"/>
    <hyperlink ref="E1096" r:id="rId1044" xr:uid="{00000000-0004-0000-0100-000013040000}"/>
    <hyperlink ref="E305" r:id="rId1045" xr:uid="{00000000-0004-0000-0100-000014040000}"/>
    <hyperlink ref="E1098" r:id="rId1046" xr:uid="{00000000-0004-0000-0100-000015040000}"/>
    <hyperlink ref="E296" r:id="rId1047" xr:uid="{00000000-0004-0000-0100-000016040000}"/>
    <hyperlink ref="E519" r:id="rId1048" xr:uid="{00000000-0004-0000-0100-000017040000}"/>
    <hyperlink ref="E641" r:id="rId1049" xr:uid="{00000000-0004-0000-0100-000018040000}"/>
    <hyperlink ref="D825" r:id="rId1050" xr:uid="{00000000-0004-0000-0100-000019040000}"/>
    <hyperlink ref="E825" r:id="rId1051" xr:uid="{00000000-0004-0000-0100-00001A040000}"/>
    <hyperlink ref="E404" r:id="rId1052" xr:uid="{00000000-0004-0000-0100-00001B040000}"/>
    <hyperlink ref="E1104" r:id="rId1053" xr:uid="{00000000-0004-0000-0100-00001C040000}"/>
    <hyperlink ref="E1107" r:id="rId1054" xr:uid="{00000000-0004-0000-0100-00001D040000}"/>
    <hyperlink ref="E1108" r:id="rId1055" xr:uid="{00000000-0004-0000-0100-00001E040000}"/>
    <hyperlink ref="E1110" r:id="rId1056" xr:uid="{00000000-0004-0000-0100-00001F040000}"/>
    <hyperlink ref="E1111" r:id="rId1057" xr:uid="{00000000-0004-0000-0100-000020040000}"/>
    <hyperlink ref="E1112" r:id="rId1058" xr:uid="{00000000-0004-0000-0100-000021040000}"/>
    <hyperlink ref="E1113" r:id="rId1059" xr:uid="{00000000-0004-0000-0100-000022040000}"/>
    <hyperlink ref="E1114" r:id="rId1060" xr:uid="{00000000-0004-0000-0100-000023040000}"/>
    <hyperlink ref="E1115" r:id="rId1061" xr:uid="{00000000-0004-0000-0100-000024040000}"/>
    <hyperlink ref="E1116" r:id="rId1062" xr:uid="{00000000-0004-0000-0100-000025040000}"/>
    <hyperlink ref="E1117" r:id="rId1063" xr:uid="{00000000-0004-0000-0100-000026040000}"/>
    <hyperlink ref="E1118" r:id="rId1064" xr:uid="{00000000-0004-0000-0100-000027040000}"/>
    <hyperlink ref="E1119" r:id="rId1065" xr:uid="{00000000-0004-0000-0100-000028040000}"/>
    <hyperlink ref="E1120" r:id="rId1066" xr:uid="{00000000-0004-0000-0100-000029040000}"/>
    <hyperlink ref="E1121" r:id="rId1067" xr:uid="{00000000-0004-0000-0100-00002A040000}"/>
    <hyperlink ref="E1122" r:id="rId1068" xr:uid="{00000000-0004-0000-0100-00002B040000}"/>
    <hyperlink ref="E1123" r:id="rId1069" xr:uid="{00000000-0004-0000-0100-00002C040000}"/>
    <hyperlink ref="E1125" r:id="rId1070" xr:uid="{00000000-0004-0000-0100-00002D040000}"/>
    <hyperlink ref="E1126" r:id="rId1071" xr:uid="{00000000-0004-0000-0100-00002E040000}"/>
    <hyperlink ref="E1127" r:id="rId1072" xr:uid="{00000000-0004-0000-0100-00002F040000}"/>
    <hyperlink ref="E738" r:id="rId1073" xr:uid="{00000000-0004-0000-0100-000030040000}"/>
    <hyperlink ref="E1129" r:id="rId1074" xr:uid="{00000000-0004-0000-0100-000031040000}"/>
    <hyperlink ref="E1074" r:id="rId1075" xr:uid="{00000000-0004-0000-0100-000032040000}"/>
    <hyperlink ref="E1076" r:id="rId1076" xr:uid="{00000000-0004-0000-0100-000033040000}"/>
    <hyperlink ref="E1132" r:id="rId1077" xr:uid="{00000000-0004-0000-0100-000034040000}"/>
    <hyperlink ref="E1133" r:id="rId1078" xr:uid="{00000000-0004-0000-0100-000035040000}"/>
    <hyperlink ref="E1134" r:id="rId1079" xr:uid="{00000000-0004-0000-0100-000036040000}"/>
    <hyperlink ref="E1135" r:id="rId1080" xr:uid="{00000000-0004-0000-0100-000037040000}"/>
    <hyperlink ref="E1136" r:id="rId1081" xr:uid="{00000000-0004-0000-0100-000038040000}"/>
    <hyperlink ref="E1137" r:id="rId1082" xr:uid="{00000000-0004-0000-0100-000039040000}"/>
    <hyperlink ref="E1138" r:id="rId1083" xr:uid="{00000000-0004-0000-0100-00003A040000}"/>
    <hyperlink ref="E1139" r:id="rId1084" xr:uid="{00000000-0004-0000-0100-00003B040000}"/>
    <hyperlink ref="E875" r:id="rId1085" xr:uid="{00000000-0004-0000-0100-00003C040000}"/>
    <hyperlink ref="E750" r:id="rId1086" xr:uid="{00000000-0004-0000-0100-00003D040000}"/>
    <hyperlink ref="E1142" r:id="rId1087" xr:uid="{00000000-0004-0000-0100-00003E040000}"/>
    <hyperlink ref="E1143" r:id="rId1088" xr:uid="{00000000-0004-0000-0100-00003F040000}"/>
    <hyperlink ref="E1144" r:id="rId1089" xr:uid="{00000000-0004-0000-0100-000040040000}"/>
    <hyperlink ref="E349" r:id="rId1090" xr:uid="{00000000-0004-0000-0100-000041040000}"/>
    <hyperlink ref="E1146" r:id="rId1091" xr:uid="{00000000-0004-0000-0100-000042040000}"/>
    <hyperlink ref="E619" r:id="rId1092" xr:uid="{00000000-0004-0000-0100-000043040000}"/>
    <hyperlink ref="E341" r:id="rId1093" xr:uid="{00000000-0004-0000-0100-000044040000}"/>
    <hyperlink ref="E212" r:id="rId1094" xr:uid="{00000000-0004-0000-0100-000045040000}"/>
    <hyperlink ref="E1150" r:id="rId1095" xr:uid="{00000000-0004-0000-0100-000046040000}"/>
    <hyperlink ref="E1151" r:id="rId1096" xr:uid="{00000000-0004-0000-0100-000047040000}"/>
    <hyperlink ref="E1152" r:id="rId1097" xr:uid="{00000000-0004-0000-0100-000048040000}"/>
    <hyperlink ref="E1153" r:id="rId1098" xr:uid="{00000000-0004-0000-0100-000049040000}"/>
    <hyperlink ref="E1154" r:id="rId1099" xr:uid="{00000000-0004-0000-0100-00004A040000}"/>
    <hyperlink ref="E1155" r:id="rId1100" xr:uid="{00000000-0004-0000-0100-00004B040000}"/>
    <hyperlink ref="E468" r:id="rId1101" xr:uid="{00000000-0004-0000-0100-00004C040000}"/>
    <hyperlink ref="E1157" r:id="rId1102" xr:uid="{00000000-0004-0000-0100-00004D040000}"/>
    <hyperlink ref="E703" r:id="rId1103" xr:uid="{00000000-0004-0000-0100-00004E040000}"/>
    <hyperlink ref="E1160" r:id="rId1104" xr:uid="{00000000-0004-0000-0100-00004F040000}"/>
    <hyperlink ref="E1161" r:id="rId1105" xr:uid="{00000000-0004-0000-0100-000050040000}"/>
    <hyperlink ref="E1162" r:id="rId1106" xr:uid="{00000000-0004-0000-0100-000051040000}"/>
    <hyperlink ref="E1163" r:id="rId1107" xr:uid="{00000000-0004-0000-0100-000052040000}"/>
    <hyperlink ref="E1165" r:id="rId1108" xr:uid="{00000000-0004-0000-0100-000053040000}"/>
    <hyperlink ref="E1166" r:id="rId1109" xr:uid="{00000000-0004-0000-0100-000054040000}"/>
    <hyperlink ref="E1167" r:id="rId1110" xr:uid="{00000000-0004-0000-0100-000055040000}"/>
    <hyperlink ref="E1168" r:id="rId1111" xr:uid="{00000000-0004-0000-0100-000056040000}"/>
    <hyperlink ref="E847" r:id="rId1112" xr:uid="{00000000-0004-0000-0100-000057040000}"/>
    <hyperlink ref="E1170" r:id="rId1113" xr:uid="{00000000-0004-0000-0100-000058040000}"/>
    <hyperlink ref="E1185" r:id="rId1114" xr:uid="{00000000-0004-0000-0100-000059040000}"/>
    <hyperlink ref="E1172" r:id="rId1115" xr:uid="{00000000-0004-0000-0100-00005A040000}"/>
    <hyperlink ref="E1004" r:id="rId1116" xr:uid="{00000000-0004-0000-0100-00005B040000}"/>
    <hyperlink ref="E1174" r:id="rId1117" xr:uid="{00000000-0004-0000-0100-00005C040000}"/>
    <hyperlink ref="E1175" r:id="rId1118" xr:uid="{00000000-0004-0000-0100-00005D040000}"/>
    <hyperlink ref="E1176" r:id="rId1119" xr:uid="{00000000-0004-0000-0100-00005E040000}"/>
    <hyperlink ref="E1177" r:id="rId1120" xr:uid="{00000000-0004-0000-0100-00005F040000}"/>
    <hyperlink ref="E1178" r:id="rId1121" xr:uid="{00000000-0004-0000-0100-000060040000}"/>
    <hyperlink ref="E1179" r:id="rId1122" xr:uid="{00000000-0004-0000-0100-000061040000}"/>
    <hyperlink ref="E1180" r:id="rId1123" xr:uid="{00000000-0004-0000-0100-000062040000}"/>
    <hyperlink ref="E1181" r:id="rId1124" xr:uid="{00000000-0004-0000-0100-000063040000}"/>
    <hyperlink ref="E1182" r:id="rId1125" xr:uid="{00000000-0004-0000-0100-000064040000}"/>
    <hyperlink ref="E1183" r:id="rId1126" xr:uid="{00000000-0004-0000-0100-000065040000}"/>
    <hyperlink ref="E1184" r:id="rId1127" xr:uid="{00000000-0004-0000-0100-000066040000}"/>
    <hyperlink ref="E728" r:id="rId1128" xr:uid="{00000000-0004-0000-0100-000067040000}"/>
    <hyperlink ref="E1186" r:id="rId1129" xr:uid="{00000000-0004-0000-0100-000068040000}"/>
    <hyperlink ref="E1187" r:id="rId1130" xr:uid="{00000000-0004-0000-0100-000069040000}"/>
    <hyperlink ref="E1188" r:id="rId1131" xr:uid="{00000000-0004-0000-0100-00006A040000}"/>
    <hyperlink ref="E664" r:id="rId1132" xr:uid="{00000000-0004-0000-0100-00006B040000}"/>
    <hyperlink ref="E1189" r:id="rId1133" xr:uid="{00000000-0004-0000-0100-00006C040000}"/>
    <hyperlink ref="E1191" r:id="rId1134" xr:uid="{00000000-0004-0000-0100-00006D040000}"/>
    <hyperlink ref="E1192" r:id="rId1135" xr:uid="{00000000-0004-0000-0100-00006E040000}"/>
    <hyperlink ref="E1045" r:id="rId1136" xr:uid="{00000000-0004-0000-0100-00006F040000}"/>
    <hyperlink ref="E1197" r:id="rId1137" xr:uid="{00000000-0004-0000-0100-000070040000}"/>
    <hyperlink ref="E1198" r:id="rId1138" xr:uid="{00000000-0004-0000-0100-000071040000}"/>
    <hyperlink ref="E1199" r:id="rId1139" xr:uid="{00000000-0004-0000-0100-000072040000}"/>
    <hyperlink ref="E1200" r:id="rId1140" xr:uid="{00000000-0004-0000-0100-000073040000}"/>
    <hyperlink ref="E1201" r:id="rId1141" xr:uid="{00000000-0004-0000-0100-000074040000}"/>
    <hyperlink ref="E1202" r:id="rId1142" xr:uid="{00000000-0004-0000-0100-000075040000}"/>
    <hyperlink ref="E131" r:id="rId1143" xr:uid="{00000000-0004-0000-0100-000076040000}"/>
    <hyperlink ref="E1204" r:id="rId1144" xr:uid="{00000000-0004-0000-0100-000077040000}"/>
    <hyperlink ref="E1205" r:id="rId1145" xr:uid="{00000000-0004-0000-0100-000078040000}"/>
    <hyperlink ref="E1206" r:id="rId1146" xr:uid="{00000000-0004-0000-0100-000079040000}"/>
    <hyperlink ref="E1053" r:id="rId1147" xr:uid="{00000000-0004-0000-0100-00007A040000}"/>
    <hyperlink ref="E1054" r:id="rId1148" xr:uid="{00000000-0004-0000-0100-00007B040000}"/>
    <hyperlink ref="E447" r:id="rId1149" xr:uid="{00000000-0004-0000-0100-00007C040000}"/>
    <hyperlink ref="E782" r:id="rId1150" xr:uid="{00000000-0004-0000-0100-00007D040000}"/>
    <hyperlink ref="E789" r:id="rId1151" xr:uid="{00000000-0004-0000-0100-00007E040000}"/>
    <hyperlink ref="E1056" r:id="rId1152" xr:uid="{00000000-0004-0000-0100-00007F040000}"/>
    <hyperlink ref="E132" r:id="rId1153" xr:uid="{00000000-0004-0000-0100-000080040000}"/>
    <hyperlink ref="E479" r:id="rId1154" xr:uid="{00000000-0004-0000-0100-000081040000}"/>
    <hyperlink ref="E407" r:id="rId1155" xr:uid="{00000000-0004-0000-0100-000082040000}"/>
    <hyperlink ref="E858" r:id="rId1156" xr:uid="{00000000-0004-0000-0100-000083040000}"/>
    <hyperlink ref="E567" r:id="rId1157" xr:uid="{00000000-0004-0000-0100-000084040000}"/>
    <hyperlink ref="E610" r:id="rId1158" xr:uid="{00000000-0004-0000-0100-000085040000}"/>
    <hyperlink ref="E710" r:id="rId1159" xr:uid="{00000000-0004-0000-0100-000086040000}"/>
    <hyperlink ref="E482" r:id="rId1160" xr:uid="{00000000-0004-0000-0100-000087040000}"/>
    <hyperlink ref="E484" r:id="rId1161" xr:uid="{00000000-0004-0000-0100-000088040000}"/>
    <hyperlink ref="E469" r:id="rId1162" xr:uid="{00000000-0004-0000-0100-000089040000}"/>
    <hyperlink ref="E471" r:id="rId1163" xr:uid="{00000000-0004-0000-0100-00008A040000}"/>
    <hyperlink ref="E1077" r:id="rId1164" xr:uid="{00000000-0004-0000-0100-00008B040000}"/>
    <hyperlink ref="E1078" r:id="rId1165" xr:uid="{00000000-0004-0000-0100-00008C040000}"/>
    <hyperlink ref="E473" r:id="rId1166" xr:uid="{00000000-0004-0000-0100-00008D040000}"/>
    <hyperlink ref="E1080" r:id="rId1167" xr:uid="{00000000-0004-0000-0100-00008E040000}"/>
    <hyperlink ref="E516" r:id="rId1168" xr:uid="{00000000-0004-0000-0100-00008F040000}"/>
    <hyperlink ref="E485" r:id="rId1169" xr:uid="{00000000-0004-0000-0100-000090040000}"/>
    <hyperlink ref="E486" r:id="rId1170" xr:uid="{00000000-0004-0000-0100-000091040000}"/>
    <hyperlink ref="E488" r:id="rId1171" xr:uid="{00000000-0004-0000-0100-000092040000}"/>
    <hyperlink ref="E489" r:id="rId1172" xr:uid="{00000000-0004-0000-0100-000093040000}"/>
    <hyperlink ref="E490" r:id="rId1173" xr:uid="{00000000-0004-0000-0100-000094040000}"/>
    <hyperlink ref="E503" r:id="rId1174" xr:uid="{00000000-0004-0000-0100-000095040000}"/>
    <hyperlink ref="E1222" r:id="rId1175" xr:uid="{00000000-0004-0000-0100-000096040000}"/>
    <hyperlink ref="E627" r:id="rId1176" xr:uid="{00000000-0004-0000-0100-000097040000}"/>
    <hyperlink ref="E504" r:id="rId1177" xr:uid="{00000000-0004-0000-0100-000098040000}"/>
    <hyperlink ref="E517" r:id="rId1178" xr:uid="{00000000-0004-0000-0100-000099040000}"/>
    <hyperlink ref="E491" r:id="rId1179" xr:uid="{00000000-0004-0000-0100-00009A040000}"/>
    <hyperlink ref="E493" r:id="rId1180" xr:uid="{00000000-0004-0000-0100-00009B040000}"/>
    <hyperlink ref="E1244" r:id="rId1181" xr:uid="{00000000-0004-0000-0100-00009C040000}"/>
    <hyperlink ref="E987" r:id="rId1182" xr:uid="{00000000-0004-0000-0100-00009D040000}"/>
    <hyperlink ref="E982" r:id="rId1183" xr:uid="{00000000-0004-0000-0100-00009E040000}"/>
    <hyperlink ref="E938" r:id="rId1184" xr:uid="{00000000-0004-0000-0100-00009F040000}"/>
    <hyperlink ref="E1218" r:id="rId1185" xr:uid="{00000000-0004-0000-0100-0000A0040000}"/>
    <hyperlink ref="E911" r:id="rId1186" xr:uid="{00000000-0004-0000-0100-0000A1040000}"/>
    <hyperlink ref="E1219" r:id="rId1187" xr:uid="{00000000-0004-0000-0100-0000A2040000}"/>
    <hyperlink ref="E943" r:id="rId1188" xr:uid="{00000000-0004-0000-0100-0000A3040000}"/>
    <hyperlink ref="E45" r:id="rId1189" xr:uid="{00000000-0004-0000-0100-0000A4040000}"/>
    <hyperlink ref="E109" r:id="rId1190" xr:uid="{00000000-0004-0000-0100-0000A5040000}"/>
    <hyperlink ref="E1220" r:id="rId1191" xr:uid="{00000000-0004-0000-0100-0000A6040000}"/>
    <hyperlink ref="E112" r:id="rId1192" xr:uid="{00000000-0004-0000-0100-0000A7040000}"/>
    <hyperlink ref="E756" r:id="rId1193" xr:uid="{00000000-0004-0000-0100-0000A8040000}"/>
    <hyperlink ref="E300" r:id="rId1194" xr:uid="{00000000-0004-0000-0100-0000A9040000}"/>
    <hyperlink ref="E1225" r:id="rId1195" xr:uid="{00000000-0004-0000-0100-0000AA040000}"/>
    <hyperlink ref="E1226" r:id="rId1196" xr:uid="{00000000-0004-0000-0100-0000AB040000}"/>
    <hyperlink ref="E1227" r:id="rId1197" xr:uid="{00000000-0004-0000-0100-0000AC040000}"/>
    <hyperlink ref="E161" r:id="rId1198" xr:uid="{00000000-0004-0000-0100-0000AD040000}"/>
    <hyperlink ref="E1228" r:id="rId1199" xr:uid="{00000000-0004-0000-0100-0000AE040000}"/>
    <hyperlink ref="E759" r:id="rId1200" xr:uid="{00000000-0004-0000-0100-0000AF040000}"/>
    <hyperlink ref="E144" r:id="rId1201" xr:uid="{00000000-0004-0000-0100-0000B0040000}"/>
    <hyperlink ref="E149" r:id="rId1202" xr:uid="{00000000-0004-0000-0100-0000B1040000}"/>
    <hyperlink ref="E150" r:id="rId1203" xr:uid="{00000000-0004-0000-0100-0000B2040000}"/>
    <hyperlink ref="E1230" r:id="rId1204" xr:uid="{00000000-0004-0000-0100-0000B3040000}"/>
    <hyperlink ref="E1231" r:id="rId1205" xr:uid="{00000000-0004-0000-0100-0000B4040000}"/>
    <hyperlink ref="E541" r:id="rId1206" xr:uid="{00000000-0004-0000-0100-0000B5040000}"/>
    <hyperlink ref="E616" r:id="rId1207" xr:uid="{00000000-0004-0000-0100-0000B6040000}"/>
    <hyperlink ref="E808" r:id="rId1208" xr:uid="{00000000-0004-0000-0100-0000B7040000}"/>
    <hyperlink ref="E804" r:id="rId1209" xr:uid="{00000000-0004-0000-0100-0000B8040000}"/>
    <hyperlink ref="E817" r:id="rId1210" xr:uid="{00000000-0004-0000-0100-0000B904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18"/>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4.5" defaultRowHeight="15.75" customHeight="1"/>
  <cols>
    <col min="1" max="1" width="42.5" customWidth="1"/>
    <col min="2" max="2" width="100.83203125" customWidth="1"/>
    <col min="3" max="3" width="96.33203125" customWidth="1"/>
    <col min="4" max="4" width="31.6640625" customWidth="1"/>
    <col min="5" max="5" width="18.33203125" customWidth="1"/>
    <col min="6" max="6" width="19.33203125" customWidth="1"/>
    <col min="7" max="7" width="25.6640625" customWidth="1"/>
    <col min="8" max="8" width="32.1640625" customWidth="1"/>
    <col min="9" max="9" width="30.6640625" customWidth="1"/>
  </cols>
  <sheetData>
    <row r="1" spans="1:26" ht="14">
      <c r="A1" s="1"/>
      <c r="B1" s="4" t="s">
        <v>1</v>
      </c>
      <c r="C1" s="6"/>
      <c r="D1" s="9" t="s">
        <v>3</v>
      </c>
      <c r="E1" s="339" t="s">
        <v>5</v>
      </c>
      <c r="F1" s="338"/>
      <c r="G1" s="11"/>
      <c r="H1" s="6"/>
      <c r="I1" s="12"/>
      <c r="J1" s="12"/>
      <c r="K1" s="12"/>
      <c r="L1" s="12"/>
      <c r="M1" s="12"/>
      <c r="N1" s="12"/>
      <c r="O1" s="12"/>
      <c r="P1" s="12"/>
      <c r="Q1" s="12"/>
      <c r="R1" s="12"/>
      <c r="S1" s="12"/>
      <c r="T1" s="12"/>
      <c r="U1" s="12"/>
      <c r="V1" s="12"/>
      <c r="W1" s="12"/>
      <c r="X1" s="12"/>
      <c r="Y1" s="12"/>
      <c r="Z1" s="12"/>
    </row>
    <row r="2" spans="1:26" ht="13">
      <c r="A2" s="23" t="s">
        <v>8</v>
      </c>
      <c r="B2" s="25"/>
      <c r="D2" s="28">
        <f>COUNTA(A5:A2018)</f>
        <v>465</v>
      </c>
      <c r="E2" s="339">
        <f ca="1">IFERROR(__xludf.DUMMYFUNCTION("countunique(D5:D2018)"),167)</f>
        <v>167</v>
      </c>
      <c r="F2" s="338"/>
      <c r="G2" s="11"/>
      <c r="H2" s="6"/>
      <c r="I2" s="12"/>
      <c r="J2" s="12"/>
      <c r="K2" s="12"/>
      <c r="L2" s="12"/>
      <c r="M2" s="12"/>
      <c r="N2" s="12"/>
      <c r="O2" s="12"/>
      <c r="P2" s="12"/>
      <c r="Q2" s="12"/>
      <c r="R2" s="12"/>
      <c r="S2" s="12"/>
      <c r="T2" s="12"/>
      <c r="U2" s="12"/>
      <c r="V2" s="12"/>
      <c r="W2" s="12"/>
      <c r="X2" s="12"/>
      <c r="Y2" s="12"/>
      <c r="Z2" s="12"/>
    </row>
    <row r="3" spans="1:26" ht="14">
      <c r="A3" s="30"/>
      <c r="B3" s="4" t="s">
        <v>37</v>
      </c>
      <c r="C3" s="28" t="str">
        <f ca="1">"Jobs posted = "&amp;D2 &amp; ", Companies posting = "&amp;E2</f>
        <v>Jobs posted = 465, Companies posting = 167</v>
      </c>
      <c r="D3" s="34"/>
      <c r="E3" s="34"/>
      <c r="F3" s="34"/>
      <c r="G3" s="36"/>
      <c r="H3" s="34"/>
    </row>
    <row r="4" spans="1:26" ht="28">
      <c r="A4" s="39" t="s">
        <v>43</v>
      </c>
      <c r="B4" s="39" t="s">
        <v>51</v>
      </c>
      <c r="C4" s="39" t="s">
        <v>54</v>
      </c>
      <c r="D4" s="39" t="s">
        <v>55</v>
      </c>
      <c r="E4" s="39" t="s">
        <v>56</v>
      </c>
      <c r="F4" s="39" t="s">
        <v>57</v>
      </c>
      <c r="G4" s="40" t="s">
        <v>58</v>
      </c>
      <c r="H4" s="39" t="s">
        <v>59</v>
      </c>
      <c r="I4" s="39" t="s">
        <v>60</v>
      </c>
      <c r="J4" s="39" t="s">
        <v>61</v>
      </c>
      <c r="K4" s="42"/>
      <c r="L4" s="42"/>
      <c r="M4" s="42"/>
      <c r="N4" s="42"/>
      <c r="O4" s="42"/>
      <c r="P4" s="42"/>
      <c r="Q4" s="42"/>
      <c r="R4" s="42"/>
      <c r="S4" s="42"/>
      <c r="T4" s="42"/>
      <c r="U4" s="42"/>
      <c r="V4" s="42"/>
      <c r="W4" s="42"/>
      <c r="X4" s="42"/>
      <c r="Y4" s="42"/>
      <c r="Z4" s="42"/>
    </row>
    <row r="5" spans="1:26" ht="42">
      <c r="A5" s="45" t="s">
        <v>69</v>
      </c>
      <c r="B5" s="46" t="s">
        <v>74</v>
      </c>
      <c r="C5" s="47" t="s">
        <v>75</v>
      </c>
      <c r="D5" s="46" t="s">
        <v>78</v>
      </c>
      <c r="E5" s="46" t="s">
        <v>79</v>
      </c>
      <c r="F5" s="46" t="s">
        <v>46</v>
      </c>
      <c r="G5" s="50" t="s">
        <v>84</v>
      </c>
      <c r="H5" s="46" t="s">
        <v>98</v>
      </c>
      <c r="I5" s="51" t="s">
        <v>32</v>
      </c>
      <c r="J5" s="52"/>
      <c r="K5" s="52"/>
      <c r="L5" s="52"/>
      <c r="M5" s="52"/>
      <c r="N5" s="52"/>
      <c r="O5" s="52"/>
      <c r="P5" s="52"/>
      <c r="Q5" s="52"/>
      <c r="R5" s="52"/>
      <c r="S5" s="52"/>
      <c r="T5" s="52"/>
      <c r="U5" s="52"/>
      <c r="V5" s="51" t="s">
        <v>63</v>
      </c>
      <c r="W5" s="52"/>
      <c r="X5" s="52"/>
      <c r="Y5" s="52"/>
      <c r="Z5" s="52"/>
    </row>
    <row r="6" spans="1:26" ht="28">
      <c r="A6" s="45" t="s">
        <v>108</v>
      </c>
      <c r="B6" s="46" t="s">
        <v>112</v>
      </c>
      <c r="C6" s="47" t="s">
        <v>114</v>
      </c>
      <c r="D6" s="46" t="s">
        <v>78</v>
      </c>
      <c r="E6" s="46" t="s">
        <v>79</v>
      </c>
      <c r="F6" s="46" t="s">
        <v>46</v>
      </c>
      <c r="G6" s="50" t="s">
        <v>115</v>
      </c>
      <c r="H6" s="46" t="s">
        <v>98</v>
      </c>
      <c r="I6" s="51" t="s">
        <v>32</v>
      </c>
      <c r="J6" s="52"/>
      <c r="K6" s="52"/>
      <c r="L6" s="52"/>
      <c r="M6" s="52"/>
      <c r="N6" s="52"/>
      <c r="O6" s="52"/>
      <c r="P6" s="52"/>
      <c r="Q6" s="52"/>
      <c r="R6" s="52"/>
      <c r="S6" s="52"/>
      <c r="T6" s="52"/>
      <c r="U6" s="52"/>
      <c r="V6" s="51" t="s">
        <v>134</v>
      </c>
      <c r="W6" s="52"/>
      <c r="X6" s="52"/>
      <c r="Y6" s="52"/>
      <c r="Z6" s="52"/>
    </row>
    <row r="7" spans="1:26" ht="28">
      <c r="A7" s="45" t="s">
        <v>136</v>
      </c>
      <c r="B7" s="46" t="s">
        <v>137</v>
      </c>
      <c r="C7" s="47" t="s">
        <v>138</v>
      </c>
      <c r="D7" s="46" t="s">
        <v>78</v>
      </c>
      <c r="E7" s="46" t="s">
        <v>79</v>
      </c>
      <c r="F7" s="46" t="s">
        <v>46</v>
      </c>
      <c r="G7" s="50" t="s">
        <v>139</v>
      </c>
      <c r="H7" s="46" t="s">
        <v>98</v>
      </c>
      <c r="I7" s="51" t="s">
        <v>32</v>
      </c>
      <c r="J7" s="52"/>
      <c r="K7" s="52"/>
      <c r="L7" s="52"/>
      <c r="M7" s="52"/>
      <c r="N7" s="52"/>
      <c r="O7" s="52"/>
      <c r="P7" s="52"/>
      <c r="Q7" s="52"/>
      <c r="R7" s="52"/>
      <c r="S7" s="52"/>
      <c r="T7" s="52"/>
      <c r="U7" s="52"/>
      <c r="V7" s="51" t="s">
        <v>161</v>
      </c>
      <c r="W7" s="52"/>
      <c r="X7" s="52"/>
      <c r="Y7" s="52"/>
      <c r="Z7" s="52"/>
    </row>
    <row r="8" spans="1:26" ht="28">
      <c r="A8" s="45" t="s">
        <v>162</v>
      </c>
      <c r="B8" s="46" t="s">
        <v>164</v>
      </c>
      <c r="C8" s="47" t="s">
        <v>166</v>
      </c>
      <c r="D8" s="46" t="s">
        <v>78</v>
      </c>
      <c r="E8" s="46" t="s">
        <v>79</v>
      </c>
      <c r="F8" s="46" t="s">
        <v>46</v>
      </c>
      <c r="G8" s="50" t="s">
        <v>173</v>
      </c>
      <c r="H8" s="46" t="s">
        <v>98</v>
      </c>
      <c r="I8" s="51" t="s">
        <v>161</v>
      </c>
      <c r="J8" s="52"/>
      <c r="K8" s="52"/>
      <c r="L8" s="52"/>
      <c r="M8" s="52"/>
      <c r="N8" s="52"/>
      <c r="O8" s="52"/>
      <c r="P8" s="52"/>
      <c r="Q8" s="52"/>
      <c r="R8" s="52"/>
      <c r="S8" s="52"/>
      <c r="T8" s="52"/>
      <c r="U8" s="52"/>
      <c r="V8" s="51" t="s">
        <v>32</v>
      </c>
      <c r="W8" s="52"/>
      <c r="X8" s="52"/>
      <c r="Y8" s="52"/>
      <c r="Z8" s="52"/>
    </row>
    <row r="9" spans="1:26" ht="42">
      <c r="A9" s="45" t="s">
        <v>198</v>
      </c>
      <c r="B9" s="46" t="s">
        <v>199</v>
      </c>
      <c r="C9" s="47" t="s">
        <v>200</v>
      </c>
      <c r="D9" s="46" t="s">
        <v>78</v>
      </c>
      <c r="E9" s="46" t="s">
        <v>79</v>
      </c>
      <c r="F9" s="46" t="s">
        <v>46</v>
      </c>
      <c r="G9" s="50" t="s">
        <v>202</v>
      </c>
      <c r="H9" s="46" t="s">
        <v>98</v>
      </c>
      <c r="I9" s="51" t="s">
        <v>32</v>
      </c>
      <c r="J9" s="52"/>
      <c r="K9" s="52"/>
      <c r="L9" s="52"/>
      <c r="M9" s="52"/>
      <c r="N9" s="52"/>
      <c r="O9" s="52"/>
      <c r="P9" s="52"/>
      <c r="Q9" s="52"/>
      <c r="R9" s="52"/>
      <c r="S9" s="52"/>
      <c r="T9" s="52"/>
      <c r="U9" s="52"/>
      <c r="V9" s="51" t="s">
        <v>214</v>
      </c>
      <c r="W9" s="52"/>
      <c r="X9" s="52"/>
      <c r="Y9" s="52"/>
      <c r="Z9" s="52"/>
    </row>
    <row r="10" spans="1:26" ht="28">
      <c r="A10" s="45" t="s">
        <v>215</v>
      </c>
      <c r="B10" s="46" t="s">
        <v>216</v>
      </c>
      <c r="C10" s="47" t="s">
        <v>217</v>
      </c>
      <c r="D10" s="46" t="s">
        <v>78</v>
      </c>
      <c r="E10" s="46" t="s">
        <v>79</v>
      </c>
      <c r="F10" s="46" t="s">
        <v>46</v>
      </c>
      <c r="G10" s="50" t="s">
        <v>218</v>
      </c>
      <c r="H10" s="46" t="s">
        <v>98</v>
      </c>
      <c r="I10" s="51" t="s">
        <v>161</v>
      </c>
      <c r="J10" s="52"/>
      <c r="K10" s="52"/>
      <c r="L10" s="52"/>
      <c r="M10" s="52"/>
      <c r="N10" s="52"/>
      <c r="O10" s="52"/>
      <c r="P10" s="52"/>
      <c r="Q10" s="52"/>
      <c r="R10" s="52"/>
      <c r="S10" s="52"/>
      <c r="T10" s="52"/>
      <c r="U10" s="52"/>
      <c r="V10" s="51" t="s">
        <v>232</v>
      </c>
      <c r="W10" s="52"/>
      <c r="X10" s="52"/>
      <c r="Y10" s="52"/>
      <c r="Z10" s="52"/>
    </row>
    <row r="11" spans="1:26" ht="60" customHeight="1">
      <c r="A11" s="45" t="s">
        <v>235</v>
      </c>
      <c r="B11" s="46" t="s">
        <v>238</v>
      </c>
      <c r="C11" s="47" t="s">
        <v>239</v>
      </c>
      <c r="D11" s="59" t="str">
        <f>HYPERLINK("www.rainmaking.io","Rainmaking")</f>
        <v>Rainmaking</v>
      </c>
      <c r="E11" s="46" t="s">
        <v>249</v>
      </c>
      <c r="F11" s="46" t="s">
        <v>46</v>
      </c>
      <c r="G11" s="50" t="s">
        <v>250</v>
      </c>
      <c r="H11" s="46" t="s">
        <v>98</v>
      </c>
      <c r="I11" s="60" t="s">
        <v>257</v>
      </c>
      <c r="J11" s="61"/>
      <c r="K11" s="61"/>
      <c r="L11" s="61"/>
      <c r="M11" s="61"/>
      <c r="N11" s="61"/>
      <c r="O11" s="61"/>
      <c r="P11" s="61"/>
      <c r="Q11" s="61"/>
      <c r="R11" s="61"/>
      <c r="S11" s="61"/>
      <c r="T11" s="61"/>
      <c r="U11" s="61"/>
      <c r="V11" s="60" t="s">
        <v>266</v>
      </c>
      <c r="W11" s="61"/>
      <c r="X11" s="61"/>
      <c r="Y11" s="61"/>
      <c r="Z11" s="61"/>
    </row>
    <row r="12" spans="1:26" ht="60" customHeight="1">
      <c r="A12" s="45" t="s">
        <v>270</v>
      </c>
      <c r="B12" s="46" t="s">
        <v>271</v>
      </c>
      <c r="C12" s="47" t="s">
        <v>272</v>
      </c>
      <c r="D12" s="46" t="s">
        <v>273</v>
      </c>
      <c r="E12" s="46" t="s">
        <v>274</v>
      </c>
      <c r="F12" s="46" t="s">
        <v>46</v>
      </c>
      <c r="G12" s="50" t="s">
        <v>275</v>
      </c>
      <c r="H12" s="46" t="s">
        <v>290</v>
      </c>
      <c r="I12" s="51" t="s">
        <v>32</v>
      </c>
      <c r="J12" s="52"/>
      <c r="K12" s="52"/>
      <c r="L12" s="52"/>
      <c r="M12" s="52"/>
      <c r="N12" s="52"/>
      <c r="O12" s="52"/>
      <c r="P12" s="52"/>
      <c r="Q12" s="52"/>
      <c r="R12" s="52"/>
      <c r="S12" s="52"/>
      <c r="T12" s="52"/>
      <c r="U12" s="52"/>
      <c r="V12" s="51" t="s">
        <v>296</v>
      </c>
      <c r="W12" s="52"/>
      <c r="X12" s="52"/>
      <c r="Y12" s="52"/>
      <c r="Z12" s="52"/>
    </row>
    <row r="13" spans="1:26" ht="42">
      <c r="A13" s="45" t="s">
        <v>297</v>
      </c>
      <c r="B13" s="46" t="s">
        <v>299</v>
      </c>
      <c r="C13" s="47" t="s">
        <v>300</v>
      </c>
      <c r="D13" s="46" t="s">
        <v>273</v>
      </c>
      <c r="E13" s="46" t="s">
        <v>274</v>
      </c>
      <c r="F13" s="46" t="s">
        <v>46</v>
      </c>
      <c r="G13" s="63" t="s">
        <v>302</v>
      </c>
      <c r="H13" s="46" t="s">
        <v>290</v>
      </c>
      <c r="I13" s="51" t="s">
        <v>32</v>
      </c>
      <c r="J13" s="52"/>
      <c r="K13" s="52"/>
      <c r="L13" s="52"/>
      <c r="M13" s="52"/>
      <c r="N13" s="52"/>
      <c r="O13" s="52"/>
      <c r="P13" s="52"/>
      <c r="Q13" s="52"/>
      <c r="R13" s="52"/>
      <c r="S13" s="52"/>
      <c r="T13" s="52"/>
      <c r="U13" s="52"/>
      <c r="V13" s="51" t="s">
        <v>326</v>
      </c>
      <c r="W13" s="52"/>
      <c r="X13" s="52"/>
      <c r="Y13" s="52"/>
      <c r="Z13" s="52"/>
    </row>
    <row r="14" spans="1:26" ht="84">
      <c r="A14" s="45" t="s">
        <v>331</v>
      </c>
      <c r="B14" s="46" t="s">
        <v>332</v>
      </c>
      <c r="C14" s="47" t="s">
        <v>333</v>
      </c>
      <c r="D14" s="46" t="s">
        <v>273</v>
      </c>
      <c r="E14" s="46" t="s">
        <v>274</v>
      </c>
      <c r="F14" s="46" t="s">
        <v>46</v>
      </c>
      <c r="G14" s="63" t="s">
        <v>334</v>
      </c>
      <c r="H14" s="46" t="s">
        <v>290</v>
      </c>
      <c r="I14" s="51" t="s">
        <v>32</v>
      </c>
      <c r="J14" s="52"/>
      <c r="K14" s="52"/>
      <c r="L14" s="52"/>
      <c r="M14" s="52"/>
      <c r="N14" s="52"/>
      <c r="O14" s="52"/>
      <c r="P14" s="52"/>
      <c r="Q14" s="52"/>
      <c r="R14" s="52"/>
      <c r="S14" s="52"/>
      <c r="T14" s="52"/>
      <c r="U14" s="52"/>
      <c r="V14" s="51" t="s">
        <v>357</v>
      </c>
      <c r="W14" s="52"/>
      <c r="X14" s="52"/>
      <c r="Y14" s="52"/>
      <c r="Z14" s="52"/>
    </row>
    <row r="15" spans="1:26" ht="42">
      <c r="A15" s="45" t="s">
        <v>234</v>
      </c>
      <c r="B15" s="46" t="s">
        <v>358</v>
      </c>
      <c r="C15" s="47" t="s">
        <v>359</v>
      </c>
      <c r="D15" s="46" t="s">
        <v>360</v>
      </c>
      <c r="E15" s="46" t="s">
        <v>362</v>
      </c>
      <c r="F15" s="46" t="s">
        <v>46</v>
      </c>
      <c r="G15" s="63" t="s">
        <v>366</v>
      </c>
      <c r="H15" s="65" t="s">
        <v>383</v>
      </c>
      <c r="I15" s="51" t="s">
        <v>161</v>
      </c>
      <c r="J15" s="52"/>
      <c r="K15" s="52"/>
      <c r="L15" s="52"/>
      <c r="M15" s="52"/>
      <c r="N15" s="52"/>
      <c r="O15" s="52"/>
      <c r="P15" s="52"/>
      <c r="Q15" s="52"/>
      <c r="R15" s="52"/>
      <c r="S15" s="52"/>
      <c r="T15" s="52"/>
      <c r="U15" s="52"/>
      <c r="V15" s="51" t="s">
        <v>394</v>
      </c>
      <c r="W15" s="52"/>
      <c r="X15" s="52"/>
      <c r="Y15" s="52"/>
      <c r="Z15" s="52"/>
    </row>
    <row r="16" spans="1:26" ht="70">
      <c r="A16" s="45" t="s">
        <v>395</v>
      </c>
      <c r="B16" s="46" t="s">
        <v>396</v>
      </c>
      <c r="C16" s="46" t="s">
        <v>403</v>
      </c>
      <c r="D16" s="46" t="s">
        <v>405</v>
      </c>
      <c r="E16" s="46" t="s">
        <v>407</v>
      </c>
      <c r="F16" s="46" t="s">
        <v>33</v>
      </c>
      <c r="G16" s="36"/>
      <c r="H16" s="46" t="s">
        <v>408</v>
      </c>
      <c r="I16" s="51" t="s">
        <v>409</v>
      </c>
      <c r="J16" s="52"/>
      <c r="K16" s="52"/>
      <c r="L16" s="52"/>
      <c r="M16" s="52"/>
      <c r="N16" s="52"/>
      <c r="O16" s="52"/>
      <c r="P16" s="52"/>
      <c r="Q16" s="52"/>
      <c r="R16" s="52"/>
      <c r="S16" s="52"/>
      <c r="T16" s="52"/>
      <c r="U16" s="52"/>
      <c r="V16" s="51" t="s">
        <v>409</v>
      </c>
      <c r="W16" s="52"/>
      <c r="X16" s="52"/>
      <c r="Y16" s="52"/>
      <c r="Z16" s="52"/>
    </row>
    <row r="17" spans="1:26" ht="56">
      <c r="A17" s="45" t="s">
        <v>416</v>
      </c>
      <c r="B17" s="46" t="s">
        <v>419</v>
      </c>
      <c r="C17" s="46" t="s">
        <v>422</v>
      </c>
      <c r="D17" s="46" t="s">
        <v>405</v>
      </c>
      <c r="E17" s="46" t="s">
        <v>407</v>
      </c>
      <c r="F17" s="46" t="s">
        <v>33</v>
      </c>
      <c r="G17" s="36"/>
      <c r="H17" s="46" t="s">
        <v>408</v>
      </c>
      <c r="I17" s="51" t="s">
        <v>409</v>
      </c>
      <c r="J17" s="52"/>
      <c r="K17" s="52"/>
      <c r="L17" s="52"/>
      <c r="M17" s="52"/>
      <c r="N17" s="52"/>
      <c r="O17" s="52"/>
      <c r="P17" s="52"/>
      <c r="Q17" s="52"/>
      <c r="R17" s="52"/>
      <c r="S17" s="52"/>
      <c r="T17" s="52"/>
      <c r="U17" s="52"/>
      <c r="V17" s="51" t="s">
        <v>433</v>
      </c>
      <c r="W17" s="52"/>
      <c r="X17" s="52"/>
      <c r="Y17" s="52"/>
      <c r="Z17" s="52"/>
    </row>
    <row r="18" spans="1:26" ht="70">
      <c r="A18" s="45" t="s">
        <v>434</v>
      </c>
      <c r="B18" s="46" t="s">
        <v>435</v>
      </c>
      <c r="C18" s="46" t="s">
        <v>436</v>
      </c>
      <c r="D18" s="46" t="s">
        <v>437</v>
      </c>
      <c r="E18" s="46" t="s">
        <v>438</v>
      </c>
      <c r="F18" s="46" t="s">
        <v>439</v>
      </c>
      <c r="G18" s="36"/>
      <c r="H18" s="46" t="s">
        <v>440</v>
      </c>
      <c r="I18" s="51" t="s">
        <v>32</v>
      </c>
      <c r="J18" s="52"/>
      <c r="K18" s="52"/>
      <c r="L18" s="52"/>
      <c r="M18" s="52"/>
      <c r="N18" s="52"/>
      <c r="O18" s="52"/>
      <c r="P18" s="52"/>
      <c r="Q18" s="52"/>
      <c r="R18" s="52"/>
      <c r="S18" s="52"/>
      <c r="T18" s="52"/>
      <c r="U18" s="52"/>
      <c r="V18" s="51" t="s">
        <v>266</v>
      </c>
      <c r="W18" s="52"/>
      <c r="X18" s="52"/>
      <c r="Y18" s="52"/>
      <c r="Z18" s="52"/>
    </row>
    <row r="19" spans="1:26" ht="56">
      <c r="A19" s="45" t="s">
        <v>448</v>
      </c>
      <c r="B19" s="46" t="s">
        <v>449</v>
      </c>
      <c r="C19" s="46" t="s">
        <v>450</v>
      </c>
      <c r="D19" s="46" t="s">
        <v>437</v>
      </c>
      <c r="E19" s="46" t="s">
        <v>438</v>
      </c>
      <c r="F19" s="46" t="s">
        <v>439</v>
      </c>
      <c r="G19" s="36"/>
      <c r="H19" s="46" t="s">
        <v>440</v>
      </c>
      <c r="I19" s="51" t="s">
        <v>32</v>
      </c>
      <c r="J19" s="52"/>
      <c r="K19" s="52"/>
      <c r="L19" s="52"/>
      <c r="M19" s="52"/>
      <c r="N19" s="52"/>
      <c r="O19" s="52"/>
      <c r="P19" s="52"/>
      <c r="Q19" s="52"/>
      <c r="R19" s="52"/>
      <c r="S19" s="52"/>
      <c r="T19" s="52"/>
      <c r="U19" s="52"/>
      <c r="V19" s="51" t="s">
        <v>257</v>
      </c>
      <c r="W19" s="52"/>
      <c r="X19" s="52"/>
      <c r="Y19" s="52"/>
      <c r="Z19" s="52"/>
    </row>
    <row r="20" spans="1:26" ht="112">
      <c r="A20" s="45" t="s">
        <v>459</v>
      </c>
      <c r="B20" s="46" t="s">
        <v>460</v>
      </c>
      <c r="C20" s="46" t="s">
        <v>461</v>
      </c>
      <c r="D20" s="46" t="s">
        <v>437</v>
      </c>
      <c r="E20" s="46" t="s">
        <v>438</v>
      </c>
      <c r="F20" s="46" t="s">
        <v>439</v>
      </c>
      <c r="G20" s="36"/>
      <c r="H20" s="46" t="s">
        <v>440</v>
      </c>
      <c r="I20" s="51" t="s">
        <v>433</v>
      </c>
      <c r="J20" s="52"/>
      <c r="K20" s="52"/>
      <c r="L20" s="52"/>
      <c r="M20" s="52"/>
      <c r="N20" s="52"/>
      <c r="O20" s="52"/>
      <c r="P20" s="52"/>
      <c r="Q20" s="52"/>
      <c r="R20" s="52"/>
      <c r="S20" s="52"/>
      <c r="T20" s="52"/>
      <c r="U20" s="52"/>
      <c r="V20" s="51" t="s">
        <v>470</v>
      </c>
      <c r="W20" s="52"/>
      <c r="X20" s="52"/>
      <c r="Y20" s="52"/>
      <c r="Z20" s="52"/>
    </row>
    <row r="21" spans="1:26" ht="42">
      <c r="A21" s="66" t="s">
        <v>471</v>
      </c>
      <c r="B21" s="25" t="s">
        <v>478</v>
      </c>
      <c r="C21" s="25" t="s">
        <v>481</v>
      </c>
      <c r="D21" s="67" t="s">
        <v>482</v>
      </c>
      <c r="E21" s="25" t="s">
        <v>493</v>
      </c>
      <c r="F21" s="25" t="s">
        <v>495</v>
      </c>
      <c r="G21" s="68" t="s">
        <v>498</v>
      </c>
      <c r="H21" s="25" t="s">
        <v>510</v>
      </c>
      <c r="I21" s="69" t="s">
        <v>357</v>
      </c>
      <c r="J21" s="70"/>
      <c r="K21" s="70"/>
      <c r="L21" s="70"/>
      <c r="M21" s="70"/>
      <c r="N21" s="70"/>
      <c r="O21" s="70"/>
      <c r="P21" s="70"/>
      <c r="Q21" s="70"/>
      <c r="R21" s="70"/>
      <c r="S21" s="70"/>
      <c r="T21" s="70"/>
      <c r="U21" s="70"/>
      <c r="V21" s="70"/>
      <c r="W21" s="70"/>
      <c r="X21" s="70"/>
      <c r="Y21" s="70"/>
      <c r="Z21" s="70"/>
    </row>
    <row r="22" spans="1:26" ht="42">
      <c r="A22" s="66" t="s">
        <v>517</v>
      </c>
      <c r="B22" s="25" t="s">
        <v>520</v>
      </c>
      <c r="C22" s="25" t="s">
        <v>522</v>
      </c>
      <c r="D22" s="67" t="s">
        <v>482</v>
      </c>
      <c r="E22" s="25" t="s">
        <v>493</v>
      </c>
      <c r="F22" s="25" t="s">
        <v>495</v>
      </c>
      <c r="G22" s="68" t="s">
        <v>531</v>
      </c>
      <c r="H22" s="25" t="s">
        <v>510</v>
      </c>
      <c r="I22" s="69" t="s">
        <v>357</v>
      </c>
      <c r="J22" s="70"/>
      <c r="K22" s="70"/>
      <c r="L22" s="70"/>
      <c r="M22" s="70"/>
      <c r="N22" s="70"/>
      <c r="O22" s="70"/>
      <c r="P22" s="70"/>
      <c r="Q22" s="70"/>
      <c r="R22" s="70"/>
      <c r="S22" s="70"/>
      <c r="T22" s="70"/>
      <c r="U22" s="70"/>
      <c r="V22" s="70"/>
      <c r="W22" s="70"/>
      <c r="X22" s="70"/>
      <c r="Y22" s="70"/>
      <c r="Z22" s="70"/>
    </row>
    <row r="23" spans="1:26" ht="42">
      <c r="A23" s="66" t="s">
        <v>544</v>
      </c>
      <c r="B23" s="25" t="s">
        <v>545</v>
      </c>
      <c r="C23" s="25" t="s">
        <v>546</v>
      </c>
      <c r="D23" s="67" t="s">
        <v>482</v>
      </c>
      <c r="E23" s="25" t="s">
        <v>493</v>
      </c>
      <c r="F23" s="25" t="s">
        <v>495</v>
      </c>
      <c r="G23" s="68" t="s">
        <v>557</v>
      </c>
      <c r="H23" s="25" t="s">
        <v>510</v>
      </c>
      <c r="I23" s="69" t="s">
        <v>357</v>
      </c>
      <c r="J23" s="70"/>
      <c r="K23" s="70"/>
      <c r="L23" s="70"/>
      <c r="M23" s="70"/>
      <c r="N23" s="70"/>
      <c r="O23" s="70"/>
      <c r="P23" s="70"/>
      <c r="Q23" s="70"/>
      <c r="R23" s="70"/>
      <c r="S23" s="70"/>
      <c r="T23" s="70"/>
      <c r="U23" s="70"/>
      <c r="V23" s="70"/>
      <c r="W23" s="70"/>
      <c r="X23" s="70"/>
      <c r="Y23" s="70"/>
      <c r="Z23" s="70"/>
    </row>
    <row r="24" spans="1:26" ht="42">
      <c r="A24" s="66" t="s">
        <v>574</v>
      </c>
      <c r="B24" s="25" t="s">
        <v>575</v>
      </c>
      <c r="C24" s="25" t="s">
        <v>576</v>
      </c>
      <c r="D24" s="67" t="s">
        <v>482</v>
      </c>
      <c r="E24" s="25" t="s">
        <v>493</v>
      </c>
      <c r="F24" s="25" t="s">
        <v>495</v>
      </c>
      <c r="G24" s="68" t="s">
        <v>587</v>
      </c>
      <c r="H24" s="25" t="s">
        <v>510</v>
      </c>
      <c r="I24" s="69" t="s">
        <v>266</v>
      </c>
      <c r="J24" s="70"/>
      <c r="K24" s="70"/>
      <c r="L24" s="70"/>
      <c r="M24" s="70"/>
      <c r="N24" s="70"/>
      <c r="O24" s="70"/>
      <c r="P24" s="70"/>
      <c r="Q24" s="70"/>
      <c r="R24" s="70"/>
      <c r="S24" s="70"/>
      <c r="T24" s="70"/>
      <c r="U24" s="70"/>
      <c r="V24" s="70"/>
      <c r="W24" s="70"/>
      <c r="X24" s="70"/>
      <c r="Y24" s="70"/>
      <c r="Z24" s="70"/>
    </row>
    <row r="25" spans="1:26" ht="42">
      <c r="A25" s="66" t="s">
        <v>596</v>
      </c>
      <c r="B25" s="25" t="s">
        <v>598</v>
      </c>
      <c r="C25" s="25" t="s">
        <v>601</v>
      </c>
      <c r="D25" s="67" t="s">
        <v>482</v>
      </c>
      <c r="E25" s="25" t="s">
        <v>493</v>
      </c>
      <c r="F25" s="25" t="s">
        <v>495</v>
      </c>
      <c r="G25" s="68" t="s">
        <v>614</v>
      </c>
      <c r="H25" s="25" t="s">
        <v>510</v>
      </c>
      <c r="I25" s="69" t="s">
        <v>161</v>
      </c>
      <c r="J25" s="70"/>
      <c r="K25" s="70"/>
      <c r="L25" s="70"/>
      <c r="M25" s="70"/>
      <c r="N25" s="70"/>
      <c r="O25" s="70"/>
      <c r="P25" s="70"/>
      <c r="Q25" s="70"/>
      <c r="R25" s="70"/>
      <c r="S25" s="70"/>
      <c r="T25" s="70"/>
      <c r="U25" s="70"/>
      <c r="V25" s="70"/>
      <c r="W25" s="70"/>
      <c r="X25" s="70"/>
      <c r="Y25" s="70"/>
      <c r="Z25" s="70"/>
    </row>
    <row r="26" spans="1:26" ht="28">
      <c r="A26" s="66" t="s">
        <v>620</v>
      </c>
      <c r="B26" s="25" t="s">
        <v>621</v>
      </c>
      <c r="C26" s="25" t="s">
        <v>622</v>
      </c>
      <c r="D26" s="67" t="s">
        <v>482</v>
      </c>
      <c r="E26" s="25" t="s">
        <v>493</v>
      </c>
      <c r="F26" s="25" t="s">
        <v>628</v>
      </c>
      <c r="G26" s="71" t="s">
        <v>630</v>
      </c>
      <c r="H26" s="25" t="s">
        <v>510</v>
      </c>
      <c r="I26" s="72" t="s">
        <v>266</v>
      </c>
      <c r="J26" s="70"/>
      <c r="K26" s="70"/>
      <c r="L26" s="70"/>
      <c r="M26" s="70"/>
      <c r="N26" s="70"/>
      <c r="O26" s="70"/>
      <c r="P26" s="70"/>
      <c r="Q26" s="70"/>
      <c r="R26" s="70"/>
      <c r="S26" s="70"/>
      <c r="T26" s="70"/>
      <c r="U26" s="70"/>
      <c r="V26" s="70"/>
      <c r="W26" s="70"/>
      <c r="X26" s="70"/>
      <c r="Y26" s="70"/>
      <c r="Z26" s="70"/>
    </row>
    <row r="27" spans="1:26" ht="28">
      <c r="A27" s="45" t="s">
        <v>647</v>
      </c>
      <c r="B27" s="73" t="s">
        <v>648</v>
      </c>
      <c r="C27" s="46" t="s">
        <v>653</v>
      </c>
      <c r="D27" s="74" t="s">
        <v>656</v>
      </c>
      <c r="E27" s="46" t="s">
        <v>667</v>
      </c>
      <c r="F27" s="46" t="s">
        <v>668</v>
      </c>
      <c r="G27" s="50" t="s">
        <v>669</v>
      </c>
      <c r="H27" s="46" t="s">
        <v>678</v>
      </c>
      <c r="I27" s="60" t="s">
        <v>32</v>
      </c>
      <c r="J27" s="61"/>
      <c r="K27" s="61"/>
      <c r="L27" s="61"/>
      <c r="M27" s="61"/>
      <c r="N27" s="61"/>
      <c r="O27" s="61"/>
      <c r="P27" s="61"/>
      <c r="Q27" s="61"/>
      <c r="R27" s="61"/>
      <c r="S27" s="61"/>
      <c r="T27" s="61"/>
      <c r="U27" s="61"/>
      <c r="V27" s="61"/>
      <c r="W27" s="61"/>
      <c r="X27" s="61"/>
      <c r="Y27" s="61"/>
      <c r="Z27" s="61"/>
    </row>
    <row r="28" spans="1:26" ht="56">
      <c r="A28" s="66" t="s">
        <v>685</v>
      </c>
      <c r="B28" s="46" t="s">
        <v>687</v>
      </c>
      <c r="C28" s="46" t="s">
        <v>688</v>
      </c>
      <c r="D28" s="74" t="s">
        <v>689</v>
      </c>
      <c r="E28" s="46" t="s">
        <v>699</v>
      </c>
      <c r="F28" s="46" t="s">
        <v>46</v>
      </c>
      <c r="G28" s="50" t="s">
        <v>700</v>
      </c>
      <c r="H28" s="46" t="s">
        <v>708</v>
      </c>
      <c r="I28" s="60" t="s">
        <v>32</v>
      </c>
      <c r="J28" s="61"/>
      <c r="K28" s="61"/>
      <c r="L28" s="61"/>
      <c r="M28" s="61"/>
      <c r="N28" s="61"/>
      <c r="O28" s="61"/>
      <c r="P28" s="61"/>
      <c r="Q28" s="61"/>
      <c r="R28" s="61"/>
      <c r="S28" s="61"/>
      <c r="T28" s="61"/>
      <c r="U28" s="61"/>
      <c r="V28" s="61"/>
      <c r="W28" s="61"/>
      <c r="X28" s="61"/>
      <c r="Y28" s="61"/>
      <c r="Z28" s="61"/>
    </row>
    <row r="29" spans="1:26" ht="112">
      <c r="A29" s="66" t="s">
        <v>717</v>
      </c>
      <c r="B29" s="46" t="s">
        <v>718</v>
      </c>
      <c r="C29" s="46" t="s">
        <v>719</v>
      </c>
      <c r="D29" s="74" t="s">
        <v>689</v>
      </c>
      <c r="E29" s="46" t="s">
        <v>699</v>
      </c>
      <c r="F29" s="46" t="s">
        <v>46</v>
      </c>
      <c r="G29" s="50" t="s">
        <v>700</v>
      </c>
      <c r="H29" s="46" t="s">
        <v>708</v>
      </c>
      <c r="I29" s="60" t="s">
        <v>32</v>
      </c>
      <c r="J29" s="61"/>
      <c r="K29" s="61"/>
      <c r="L29" s="61"/>
      <c r="M29" s="61"/>
      <c r="N29" s="61"/>
      <c r="O29" s="61"/>
      <c r="P29" s="61"/>
      <c r="Q29" s="61"/>
      <c r="R29" s="61"/>
      <c r="S29" s="61"/>
      <c r="T29" s="61"/>
      <c r="U29" s="61"/>
      <c r="V29" s="61"/>
      <c r="W29" s="61"/>
      <c r="X29" s="61"/>
      <c r="Y29" s="61"/>
      <c r="Z29" s="61"/>
    </row>
    <row r="30" spans="1:26" ht="70">
      <c r="A30" s="46" t="s">
        <v>751</v>
      </c>
      <c r="B30" s="46" t="s">
        <v>752</v>
      </c>
      <c r="C30" s="46" t="s">
        <v>753</v>
      </c>
      <c r="D30" s="74" t="s">
        <v>754</v>
      </c>
      <c r="E30" s="46" t="s">
        <v>764</v>
      </c>
      <c r="F30" s="46" t="s">
        <v>46</v>
      </c>
      <c r="G30" s="50" t="s">
        <v>765</v>
      </c>
      <c r="H30" s="46" t="s">
        <v>776</v>
      </c>
      <c r="I30" s="60" t="s">
        <v>32</v>
      </c>
      <c r="J30" s="61"/>
      <c r="K30" s="61"/>
      <c r="L30" s="61"/>
      <c r="M30" s="61"/>
      <c r="N30" s="61"/>
      <c r="O30" s="61"/>
      <c r="P30" s="61"/>
      <c r="Q30" s="61"/>
      <c r="R30" s="61"/>
      <c r="S30" s="61"/>
      <c r="T30" s="61"/>
      <c r="U30" s="61"/>
      <c r="V30" s="61"/>
      <c r="W30" s="61"/>
      <c r="X30" s="61"/>
      <c r="Y30" s="61"/>
      <c r="Z30" s="61"/>
    </row>
    <row r="31" spans="1:26" ht="70">
      <c r="A31" s="46" t="s">
        <v>784</v>
      </c>
      <c r="B31" s="46" t="s">
        <v>785</v>
      </c>
      <c r="C31" s="46" t="s">
        <v>753</v>
      </c>
      <c r="D31" s="74" t="s">
        <v>754</v>
      </c>
      <c r="E31" s="46" t="s">
        <v>764</v>
      </c>
      <c r="F31" s="46" t="s">
        <v>792</v>
      </c>
      <c r="G31" s="50" t="s">
        <v>793</v>
      </c>
      <c r="H31" s="46" t="s">
        <v>776</v>
      </c>
      <c r="I31" s="60" t="s">
        <v>32</v>
      </c>
      <c r="J31" s="61"/>
      <c r="K31" s="61"/>
      <c r="L31" s="61"/>
      <c r="M31" s="61"/>
      <c r="N31" s="61"/>
      <c r="O31" s="61"/>
      <c r="P31" s="61"/>
      <c r="Q31" s="61"/>
      <c r="R31" s="61"/>
      <c r="S31" s="61"/>
      <c r="T31" s="61"/>
      <c r="U31" s="61"/>
      <c r="V31" s="61"/>
      <c r="W31" s="61"/>
      <c r="X31" s="61"/>
      <c r="Y31" s="61"/>
      <c r="Z31" s="61"/>
    </row>
    <row r="32" spans="1:26" ht="154">
      <c r="A32" s="46" t="s">
        <v>810</v>
      </c>
      <c r="B32" s="46" t="s">
        <v>811</v>
      </c>
      <c r="C32" s="46" t="s">
        <v>812</v>
      </c>
      <c r="D32" s="76" t="s">
        <v>813</v>
      </c>
      <c r="E32" s="46" t="s">
        <v>815</v>
      </c>
      <c r="F32" s="46" t="s">
        <v>46</v>
      </c>
      <c r="G32" s="50" t="s">
        <v>819</v>
      </c>
      <c r="H32" s="46" t="s">
        <v>831</v>
      </c>
      <c r="I32" s="60" t="s">
        <v>32</v>
      </c>
      <c r="J32" s="77"/>
      <c r="K32" s="77"/>
      <c r="L32" s="77"/>
      <c r="M32" s="77"/>
      <c r="N32" s="77"/>
      <c r="O32" s="77"/>
      <c r="P32" s="77"/>
      <c r="Q32" s="77"/>
      <c r="R32" s="77"/>
      <c r="S32" s="77"/>
      <c r="T32" s="77"/>
      <c r="U32" s="77"/>
      <c r="V32" s="77"/>
      <c r="W32" s="77"/>
      <c r="X32" s="77"/>
      <c r="Y32" s="77"/>
      <c r="Z32" s="77"/>
    </row>
    <row r="33" spans="1:26" ht="56">
      <c r="A33" s="46" t="s">
        <v>840</v>
      </c>
      <c r="B33" s="46" t="s">
        <v>841</v>
      </c>
      <c r="C33" s="46" t="s">
        <v>842</v>
      </c>
      <c r="D33" s="46" t="s">
        <v>843</v>
      </c>
      <c r="E33" s="46" t="s">
        <v>844</v>
      </c>
      <c r="F33" s="46" t="s">
        <v>846</v>
      </c>
      <c r="G33" s="36"/>
      <c r="H33" s="46" t="s">
        <v>849</v>
      </c>
      <c r="I33" s="60" t="s">
        <v>214</v>
      </c>
      <c r="J33" s="61"/>
      <c r="K33" s="61"/>
      <c r="L33" s="61"/>
      <c r="M33" s="61"/>
      <c r="N33" s="61"/>
      <c r="O33" s="61"/>
      <c r="P33" s="61"/>
      <c r="Q33" s="61"/>
      <c r="R33" s="61"/>
      <c r="S33" s="61"/>
      <c r="T33" s="61"/>
      <c r="U33" s="61"/>
      <c r="V33" s="61"/>
      <c r="W33" s="61"/>
      <c r="X33" s="61"/>
      <c r="Y33" s="61"/>
      <c r="Z33" s="61"/>
    </row>
    <row r="34" spans="1:26" ht="14">
      <c r="A34" s="46" t="s">
        <v>857</v>
      </c>
      <c r="B34" s="46" t="s">
        <v>859</v>
      </c>
      <c r="C34" s="46" t="s">
        <v>860</v>
      </c>
      <c r="D34" s="46" t="s">
        <v>843</v>
      </c>
      <c r="E34" s="46" t="s">
        <v>844</v>
      </c>
      <c r="F34" s="46" t="s">
        <v>846</v>
      </c>
      <c r="G34" s="36"/>
      <c r="H34" s="46" t="s">
        <v>849</v>
      </c>
      <c r="I34" s="60" t="s">
        <v>32</v>
      </c>
      <c r="J34" s="61"/>
      <c r="K34" s="61"/>
      <c r="L34" s="61"/>
      <c r="M34" s="61"/>
      <c r="N34" s="61"/>
      <c r="O34" s="61"/>
      <c r="P34" s="61"/>
      <c r="Q34" s="61"/>
      <c r="R34" s="61"/>
      <c r="S34" s="61"/>
      <c r="T34" s="61"/>
      <c r="U34" s="61"/>
      <c r="V34" s="61"/>
      <c r="W34" s="61"/>
      <c r="X34" s="61"/>
      <c r="Y34" s="61"/>
      <c r="Z34" s="61"/>
    </row>
    <row r="35" spans="1:26" ht="14">
      <c r="A35" s="46" t="s">
        <v>867</v>
      </c>
      <c r="B35" s="46" t="s">
        <v>868</v>
      </c>
      <c r="C35" s="46" t="s">
        <v>871</v>
      </c>
      <c r="D35" s="46" t="s">
        <v>843</v>
      </c>
      <c r="E35" s="46" t="s">
        <v>844</v>
      </c>
      <c r="F35" s="46" t="s">
        <v>846</v>
      </c>
      <c r="G35" s="36"/>
      <c r="H35" s="46" t="s">
        <v>849</v>
      </c>
      <c r="I35" s="60" t="s">
        <v>32</v>
      </c>
      <c r="J35" s="61"/>
      <c r="K35" s="61"/>
      <c r="L35" s="61"/>
      <c r="M35" s="61"/>
      <c r="N35" s="61"/>
      <c r="O35" s="61"/>
      <c r="P35" s="61"/>
      <c r="Q35" s="61"/>
      <c r="R35" s="61"/>
      <c r="S35" s="61"/>
      <c r="T35" s="61"/>
      <c r="U35" s="61"/>
      <c r="V35" s="61"/>
      <c r="W35" s="61"/>
      <c r="X35" s="61"/>
      <c r="Y35" s="61"/>
      <c r="Z35" s="61"/>
    </row>
    <row r="36" spans="1:26" ht="140">
      <c r="A36" s="45" t="s">
        <v>878</v>
      </c>
      <c r="B36" s="46" t="s">
        <v>882</v>
      </c>
      <c r="C36" s="46" t="s">
        <v>883</v>
      </c>
      <c r="D36" s="46" t="s">
        <v>885</v>
      </c>
      <c r="E36" s="46" t="s">
        <v>886</v>
      </c>
      <c r="F36" s="46" t="s">
        <v>887</v>
      </c>
      <c r="G36" s="50" t="s">
        <v>889</v>
      </c>
      <c r="H36" s="46" t="s">
        <v>98</v>
      </c>
      <c r="I36" s="60" t="s">
        <v>357</v>
      </c>
      <c r="J36" s="61"/>
      <c r="K36" s="61"/>
      <c r="L36" s="61"/>
      <c r="M36" s="61"/>
      <c r="N36" s="61"/>
      <c r="O36" s="61"/>
      <c r="P36" s="61"/>
      <c r="Q36" s="61"/>
      <c r="R36" s="61"/>
      <c r="S36" s="61"/>
      <c r="T36" s="61"/>
      <c r="U36" s="61"/>
      <c r="V36" s="61"/>
      <c r="W36" s="61"/>
      <c r="X36" s="61"/>
      <c r="Y36" s="61"/>
      <c r="Z36" s="61"/>
    </row>
    <row r="37" spans="1:26" ht="154">
      <c r="A37" s="45" t="s">
        <v>898</v>
      </c>
      <c r="B37" s="46" t="s">
        <v>899</v>
      </c>
      <c r="C37" s="46" t="s">
        <v>900</v>
      </c>
      <c r="D37" s="46" t="s">
        <v>901</v>
      </c>
      <c r="E37" s="46" t="s">
        <v>902</v>
      </c>
      <c r="F37" s="46" t="s">
        <v>46</v>
      </c>
      <c r="G37" s="50" t="s">
        <v>903</v>
      </c>
      <c r="H37" s="46" t="s">
        <v>911</v>
      </c>
      <c r="I37" s="60" t="s">
        <v>32</v>
      </c>
      <c r="J37" s="61"/>
      <c r="K37" s="61"/>
      <c r="L37" s="61"/>
      <c r="M37" s="61"/>
      <c r="N37" s="61"/>
      <c r="O37" s="61"/>
      <c r="P37" s="61"/>
      <c r="Q37" s="61"/>
      <c r="R37" s="61"/>
      <c r="S37" s="61"/>
      <c r="T37" s="61"/>
      <c r="U37" s="61"/>
      <c r="V37" s="61"/>
      <c r="W37" s="61"/>
      <c r="X37" s="61"/>
      <c r="Y37" s="61"/>
      <c r="Z37" s="61"/>
    </row>
    <row r="38" spans="1:26" ht="112">
      <c r="A38" s="45" t="s">
        <v>921</v>
      </c>
      <c r="B38" s="46" t="s">
        <v>922</v>
      </c>
      <c r="C38" s="46" t="s">
        <v>923</v>
      </c>
      <c r="D38" s="46" t="s">
        <v>901</v>
      </c>
      <c r="E38" s="46" t="s">
        <v>902</v>
      </c>
      <c r="F38" s="46" t="s">
        <v>46</v>
      </c>
      <c r="G38" s="50" t="s">
        <v>903</v>
      </c>
      <c r="H38" s="46" t="s">
        <v>911</v>
      </c>
      <c r="I38" s="60" t="s">
        <v>32</v>
      </c>
      <c r="J38" s="61"/>
      <c r="K38" s="61"/>
      <c r="L38" s="61"/>
      <c r="M38" s="61"/>
      <c r="N38" s="61"/>
      <c r="O38" s="61"/>
      <c r="P38" s="61"/>
      <c r="Q38" s="61"/>
      <c r="R38" s="61"/>
      <c r="S38" s="61"/>
      <c r="T38" s="61"/>
      <c r="U38" s="61"/>
      <c r="V38" s="61"/>
      <c r="W38" s="61"/>
      <c r="X38" s="61"/>
      <c r="Y38" s="61"/>
      <c r="Z38" s="61"/>
    </row>
    <row r="39" spans="1:26" ht="28">
      <c r="A39" s="46" t="s">
        <v>938</v>
      </c>
      <c r="B39" s="46" t="s">
        <v>939</v>
      </c>
      <c r="C39" s="46" t="s">
        <v>940</v>
      </c>
      <c r="D39" s="46" t="s">
        <v>941</v>
      </c>
      <c r="E39" s="46" t="s">
        <v>942</v>
      </c>
      <c r="F39" s="46" t="s">
        <v>944</v>
      </c>
      <c r="G39" s="78" t="s">
        <v>945</v>
      </c>
      <c r="H39" s="46" t="s">
        <v>951</v>
      </c>
      <c r="I39" s="60" t="s">
        <v>357</v>
      </c>
      <c r="J39" s="61"/>
      <c r="K39" s="61"/>
      <c r="L39" s="61"/>
      <c r="M39" s="61"/>
      <c r="N39" s="61"/>
      <c r="O39" s="61"/>
      <c r="P39" s="61"/>
      <c r="Q39" s="61"/>
      <c r="R39" s="61"/>
      <c r="S39" s="61"/>
      <c r="T39" s="61"/>
      <c r="U39" s="61"/>
      <c r="V39" s="61"/>
      <c r="W39" s="61"/>
      <c r="X39" s="61"/>
      <c r="Y39" s="61"/>
      <c r="Z39" s="61"/>
    </row>
    <row r="40" spans="1:26" ht="56">
      <c r="A40" s="45" t="s">
        <v>958</v>
      </c>
      <c r="B40" s="46" t="s">
        <v>960</v>
      </c>
      <c r="C40" s="46" t="s">
        <v>963</v>
      </c>
      <c r="D40" s="46" t="s">
        <v>965</v>
      </c>
      <c r="E40" s="46" t="s">
        <v>966</v>
      </c>
      <c r="F40" s="46" t="s">
        <v>46</v>
      </c>
      <c r="G40" s="50" t="s">
        <v>967</v>
      </c>
      <c r="H40" s="46" t="s">
        <v>981</v>
      </c>
      <c r="I40" s="60" t="s">
        <v>32</v>
      </c>
      <c r="J40" s="61"/>
      <c r="K40" s="61"/>
      <c r="L40" s="61"/>
      <c r="M40" s="61"/>
      <c r="N40" s="61"/>
      <c r="O40" s="61"/>
      <c r="P40" s="61"/>
      <c r="Q40" s="61"/>
      <c r="R40" s="61"/>
      <c r="S40" s="61"/>
      <c r="T40" s="61"/>
      <c r="U40" s="61"/>
      <c r="V40" s="61"/>
      <c r="W40" s="61"/>
      <c r="X40" s="61"/>
      <c r="Y40" s="61"/>
      <c r="Z40" s="61"/>
    </row>
    <row r="41" spans="1:26" ht="56">
      <c r="A41" s="45" t="s">
        <v>986</v>
      </c>
      <c r="B41" s="46" t="s">
        <v>988</v>
      </c>
      <c r="C41" s="46" t="s">
        <v>990</v>
      </c>
      <c r="D41" s="46" t="s">
        <v>965</v>
      </c>
      <c r="E41" s="46" t="s">
        <v>966</v>
      </c>
      <c r="F41" s="46" t="s">
        <v>46</v>
      </c>
      <c r="G41" s="50" t="s">
        <v>997</v>
      </c>
      <c r="H41" s="46" t="s">
        <v>981</v>
      </c>
      <c r="I41" s="60" t="s">
        <v>32</v>
      </c>
      <c r="J41" s="61"/>
      <c r="K41" s="61"/>
      <c r="L41" s="61"/>
      <c r="M41" s="61"/>
      <c r="N41" s="61"/>
      <c r="O41" s="61"/>
      <c r="P41" s="61"/>
      <c r="Q41" s="61"/>
      <c r="R41" s="61"/>
      <c r="S41" s="61"/>
      <c r="T41" s="61"/>
      <c r="U41" s="61"/>
      <c r="V41" s="61"/>
      <c r="W41" s="61"/>
      <c r="X41" s="61"/>
      <c r="Y41" s="61"/>
      <c r="Z41" s="61"/>
    </row>
    <row r="42" spans="1:26" ht="70">
      <c r="A42" s="45" t="s">
        <v>1012</v>
      </c>
      <c r="B42" s="46" t="s">
        <v>1013</v>
      </c>
      <c r="C42" s="46" t="s">
        <v>1014</v>
      </c>
      <c r="D42" s="46" t="s">
        <v>1016</v>
      </c>
      <c r="E42" s="46" t="s">
        <v>1018</v>
      </c>
      <c r="F42" s="46" t="s">
        <v>1020</v>
      </c>
      <c r="G42" s="50" t="s">
        <v>1023</v>
      </c>
      <c r="H42" s="46" t="s">
        <v>1032</v>
      </c>
      <c r="I42" s="69" t="s">
        <v>257</v>
      </c>
      <c r="J42" s="61"/>
      <c r="K42" s="61"/>
      <c r="L42" s="61"/>
      <c r="M42" s="61"/>
      <c r="N42" s="61"/>
      <c r="O42" s="61"/>
      <c r="P42" s="61"/>
      <c r="Q42" s="61"/>
      <c r="R42" s="61"/>
      <c r="S42" s="61"/>
      <c r="T42" s="61"/>
      <c r="U42" s="61"/>
      <c r="V42" s="61"/>
      <c r="W42" s="61"/>
      <c r="X42" s="61"/>
      <c r="Y42" s="61"/>
      <c r="Z42" s="61"/>
    </row>
    <row r="43" spans="1:26" ht="112">
      <c r="A43" s="45" t="s">
        <v>1037</v>
      </c>
      <c r="B43" s="46" t="s">
        <v>1038</v>
      </c>
      <c r="C43" s="46" t="s">
        <v>1039</v>
      </c>
      <c r="D43" s="46" t="s">
        <v>1016</v>
      </c>
      <c r="E43" s="46" t="s">
        <v>1018</v>
      </c>
      <c r="F43" s="46" t="s">
        <v>1040</v>
      </c>
      <c r="G43" s="50" t="s">
        <v>1023</v>
      </c>
      <c r="H43" s="46" t="s">
        <v>1032</v>
      </c>
      <c r="I43" s="60" t="s">
        <v>32</v>
      </c>
      <c r="J43" s="61"/>
      <c r="K43" s="61"/>
      <c r="L43" s="61"/>
      <c r="M43" s="61"/>
      <c r="N43" s="61"/>
      <c r="O43" s="61"/>
      <c r="P43" s="61"/>
      <c r="Q43" s="61"/>
      <c r="R43" s="61"/>
      <c r="S43" s="61"/>
      <c r="T43" s="61"/>
      <c r="U43" s="61"/>
      <c r="V43" s="61"/>
      <c r="W43" s="61"/>
      <c r="X43" s="61"/>
      <c r="Y43" s="61"/>
      <c r="Z43" s="61"/>
    </row>
    <row r="44" spans="1:26" ht="168">
      <c r="A44" s="79" t="s">
        <v>1054</v>
      </c>
      <c r="B44" s="46" t="s">
        <v>1062</v>
      </c>
      <c r="C44" s="46" t="s">
        <v>1063</v>
      </c>
      <c r="D44" s="46" t="s">
        <v>1064</v>
      </c>
      <c r="E44" s="46" t="s">
        <v>1065</v>
      </c>
      <c r="F44" s="46" t="s">
        <v>1066</v>
      </c>
      <c r="G44" s="50" t="s">
        <v>1068</v>
      </c>
      <c r="H44" s="46" t="s">
        <v>1074</v>
      </c>
      <c r="I44" s="60" t="s">
        <v>32</v>
      </c>
      <c r="J44" s="61"/>
      <c r="K44" s="61"/>
      <c r="L44" s="61"/>
      <c r="M44" s="61"/>
      <c r="N44" s="61"/>
      <c r="O44" s="61"/>
      <c r="P44" s="61"/>
      <c r="Q44" s="61"/>
      <c r="R44" s="61"/>
      <c r="S44" s="61"/>
      <c r="T44" s="61"/>
      <c r="U44" s="61"/>
      <c r="V44" s="61"/>
      <c r="W44" s="61"/>
      <c r="X44" s="61"/>
      <c r="Y44" s="61"/>
      <c r="Z44" s="61"/>
    </row>
    <row r="45" spans="1:26" ht="196">
      <c r="A45" s="79" t="s">
        <v>1079</v>
      </c>
      <c r="B45" s="46" t="s">
        <v>1080</v>
      </c>
      <c r="C45" s="46" t="s">
        <v>1081</v>
      </c>
      <c r="D45" s="46" t="s">
        <v>1064</v>
      </c>
      <c r="E45" s="46" t="s">
        <v>1084</v>
      </c>
      <c r="F45" s="46" t="s">
        <v>1066</v>
      </c>
      <c r="G45" s="50" t="s">
        <v>1068</v>
      </c>
      <c r="H45" s="46" t="s">
        <v>1074</v>
      </c>
      <c r="I45" s="60" t="s">
        <v>32</v>
      </c>
      <c r="J45" s="61"/>
      <c r="K45" s="61"/>
      <c r="L45" s="61"/>
      <c r="M45" s="61"/>
      <c r="N45" s="61"/>
      <c r="O45" s="61"/>
      <c r="P45" s="61"/>
      <c r="Q45" s="61"/>
      <c r="R45" s="61"/>
      <c r="S45" s="61"/>
      <c r="T45" s="61"/>
      <c r="U45" s="61"/>
      <c r="V45" s="61"/>
      <c r="W45" s="61"/>
      <c r="X45" s="61"/>
      <c r="Y45" s="61"/>
      <c r="Z45" s="61"/>
    </row>
    <row r="46" spans="1:26" ht="112">
      <c r="A46" s="45" t="s">
        <v>1097</v>
      </c>
      <c r="B46" s="46" t="s">
        <v>1099</v>
      </c>
      <c r="C46" s="46" t="s">
        <v>1100</v>
      </c>
      <c r="D46" s="46" t="s">
        <v>1064</v>
      </c>
      <c r="E46" s="46" t="s">
        <v>1084</v>
      </c>
      <c r="F46" s="46" t="s">
        <v>1066</v>
      </c>
      <c r="G46" s="50" t="s">
        <v>1068</v>
      </c>
      <c r="H46" s="46" t="s">
        <v>1074</v>
      </c>
      <c r="I46" s="60" t="s">
        <v>32</v>
      </c>
      <c r="J46" s="61"/>
      <c r="K46" s="61"/>
      <c r="L46" s="61"/>
      <c r="M46" s="61"/>
      <c r="N46" s="61"/>
      <c r="O46" s="61"/>
      <c r="P46" s="61"/>
      <c r="Q46" s="61"/>
      <c r="R46" s="61"/>
      <c r="S46" s="61"/>
      <c r="T46" s="61"/>
      <c r="U46" s="61"/>
      <c r="V46" s="61"/>
      <c r="W46" s="61"/>
      <c r="X46" s="61"/>
      <c r="Y46" s="61"/>
      <c r="Z46" s="61"/>
    </row>
    <row r="47" spans="1:26" ht="168">
      <c r="A47" s="45" t="s">
        <v>1125</v>
      </c>
      <c r="B47" s="46" t="s">
        <v>1129</v>
      </c>
      <c r="C47" s="46" t="s">
        <v>1131</v>
      </c>
      <c r="D47" s="46" t="s">
        <v>1064</v>
      </c>
      <c r="E47" s="46" t="s">
        <v>1132</v>
      </c>
      <c r="F47" s="46" t="s">
        <v>1066</v>
      </c>
      <c r="G47" s="50" t="s">
        <v>1068</v>
      </c>
      <c r="H47" s="46" t="s">
        <v>1074</v>
      </c>
      <c r="I47" s="60" t="s">
        <v>32</v>
      </c>
      <c r="J47" s="61"/>
      <c r="K47" s="61"/>
      <c r="L47" s="61"/>
      <c r="M47" s="61"/>
      <c r="N47" s="61"/>
      <c r="O47" s="61"/>
      <c r="P47" s="61"/>
      <c r="Q47" s="61"/>
      <c r="R47" s="61"/>
      <c r="S47" s="61"/>
      <c r="T47" s="61"/>
      <c r="U47" s="61"/>
      <c r="V47" s="61"/>
      <c r="W47" s="61"/>
      <c r="X47" s="61"/>
      <c r="Y47" s="61"/>
      <c r="Z47" s="61"/>
    </row>
    <row r="48" spans="1:26" ht="140">
      <c r="A48" s="45" t="s">
        <v>1144</v>
      </c>
      <c r="B48" s="46" t="s">
        <v>1146</v>
      </c>
      <c r="C48" s="46" t="s">
        <v>1147</v>
      </c>
      <c r="D48" s="46" t="s">
        <v>1064</v>
      </c>
      <c r="E48" s="46" t="s">
        <v>1084</v>
      </c>
      <c r="F48" s="46" t="s">
        <v>1066</v>
      </c>
      <c r="G48" s="50" t="s">
        <v>1068</v>
      </c>
      <c r="H48" s="46" t="s">
        <v>1074</v>
      </c>
      <c r="I48" s="60" t="s">
        <v>32</v>
      </c>
      <c r="J48" s="61"/>
      <c r="K48" s="61"/>
      <c r="L48" s="61"/>
      <c r="M48" s="61"/>
      <c r="N48" s="61"/>
      <c r="O48" s="61"/>
      <c r="P48" s="61"/>
      <c r="Q48" s="61"/>
      <c r="R48" s="61"/>
      <c r="S48" s="61"/>
      <c r="T48" s="61"/>
      <c r="U48" s="61"/>
      <c r="V48" s="61"/>
      <c r="W48" s="61"/>
      <c r="X48" s="61"/>
      <c r="Y48" s="61"/>
      <c r="Z48" s="61"/>
    </row>
    <row r="49" spans="1:26" ht="42">
      <c r="A49" s="45" t="s">
        <v>1162</v>
      </c>
      <c r="B49" s="74" t="s">
        <v>1165</v>
      </c>
      <c r="C49" s="74" t="s">
        <v>1165</v>
      </c>
      <c r="D49" s="46" t="s">
        <v>1064</v>
      </c>
      <c r="E49" s="46" t="s">
        <v>1188</v>
      </c>
      <c r="F49" s="46" t="s">
        <v>1066</v>
      </c>
      <c r="G49" s="50" t="s">
        <v>1068</v>
      </c>
      <c r="H49" s="46" t="s">
        <v>1074</v>
      </c>
      <c r="I49" s="60" t="s">
        <v>32</v>
      </c>
      <c r="J49" s="61"/>
      <c r="K49" s="61"/>
      <c r="L49" s="61"/>
      <c r="M49" s="61"/>
      <c r="N49" s="61"/>
      <c r="O49" s="61"/>
      <c r="P49" s="61"/>
      <c r="Q49" s="61"/>
      <c r="R49" s="61"/>
      <c r="S49" s="61"/>
      <c r="T49" s="61"/>
      <c r="U49" s="61"/>
      <c r="V49" s="61"/>
      <c r="W49" s="61"/>
      <c r="X49" s="61"/>
      <c r="Y49" s="61"/>
      <c r="Z49" s="61"/>
    </row>
    <row r="50" spans="1:26" ht="319">
      <c r="A50" s="45" t="s">
        <v>1199</v>
      </c>
      <c r="B50" s="46" t="s">
        <v>1200</v>
      </c>
      <c r="C50" s="46" t="s">
        <v>1201</v>
      </c>
      <c r="D50" s="76" t="s">
        <v>1202</v>
      </c>
      <c r="E50" s="46" t="s">
        <v>1205</v>
      </c>
      <c r="F50" s="46" t="s">
        <v>1206</v>
      </c>
      <c r="G50" s="50" t="s">
        <v>1207</v>
      </c>
      <c r="H50" s="25" t="s">
        <v>1216</v>
      </c>
      <c r="I50" s="60" t="s">
        <v>32</v>
      </c>
      <c r="J50" s="61"/>
      <c r="K50" s="61"/>
      <c r="L50" s="61"/>
      <c r="M50" s="61"/>
      <c r="N50" s="61"/>
      <c r="O50" s="61"/>
      <c r="P50" s="61"/>
      <c r="Q50" s="61"/>
      <c r="R50" s="61"/>
      <c r="S50" s="61"/>
      <c r="T50" s="61"/>
      <c r="U50" s="61"/>
      <c r="V50" s="61"/>
      <c r="W50" s="61"/>
      <c r="X50" s="61"/>
      <c r="Y50" s="61"/>
      <c r="Z50" s="61"/>
    </row>
    <row r="51" spans="1:26" ht="98">
      <c r="A51" s="45" t="s">
        <v>1222</v>
      </c>
      <c r="B51" s="46" t="s">
        <v>1225</v>
      </c>
      <c r="C51" s="46" t="s">
        <v>1227</v>
      </c>
      <c r="D51" s="46" t="s">
        <v>283</v>
      </c>
      <c r="E51" s="46" t="s">
        <v>1229</v>
      </c>
      <c r="F51" s="46" t="s">
        <v>46</v>
      </c>
      <c r="G51" s="50" t="s">
        <v>1232</v>
      </c>
      <c r="H51" s="25"/>
      <c r="I51" s="60" t="s">
        <v>357</v>
      </c>
      <c r="J51" s="61"/>
      <c r="K51" s="61"/>
      <c r="L51" s="61"/>
      <c r="M51" s="61"/>
      <c r="N51" s="61"/>
      <c r="O51" s="61"/>
      <c r="P51" s="61"/>
      <c r="Q51" s="61"/>
      <c r="R51" s="61"/>
      <c r="S51" s="61"/>
      <c r="T51" s="61"/>
      <c r="U51" s="61"/>
      <c r="V51" s="61"/>
      <c r="W51" s="61"/>
      <c r="X51" s="61"/>
      <c r="Y51" s="61"/>
      <c r="Z51" s="61"/>
    </row>
    <row r="52" spans="1:26" ht="98">
      <c r="A52" s="45" t="s">
        <v>1242</v>
      </c>
      <c r="B52" s="46" t="s">
        <v>1225</v>
      </c>
      <c r="C52" s="46" t="s">
        <v>1227</v>
      </c>
      <c r="D52" s="46" t="s">
        <v>283</v>
      </c>
      <c r="E52" s="46" t="s">
        <v>1229</v>
      </c>
      <c r="F52" s="46" t="s">
        <v>46</v>
      </c>
      <c r="G52" s="50" t="s">
        <v>1243</v>
      </c>
      <c r="H52" s="25"/>
      <c r="I52" s="60" t="s">
        <v>357</v>
      </c>
      <c r="J52" s="61"/>
      <c r="K52" s="61"/>
      <c r="L52" s="61"/>
      <c r="M52" s="61"/>
      <c r="N52" s="61"/>
      <c r="O52" s="61"/>
      <c r="P52" s="61"/>
      <c r="Q52" s="61"/>
      <c r="R52" s="61"/>
      <c r="S52" s="61"/>
      <c r="T52" s="61"/>
      <c r="U52" s="61"/>
      <c r="V52" s="61"/>
      <c r="W52" s="61"/>
      <c r="X52" s="61"/>
      <c r="Y52" s="61"/>
      <c r="Z52" s="61"/>
    </row>
    <row r="53" spans="1:26" ht="98">
      <c r="A53" s="46" t="s">
        <v>1256</v>
      </c>
      <c r="B53" s="46" t="s">
        <v>1257</v>
      </c>
      <c r="C53" s="46" t="s">
        <v>1259</v>
      </c>
      <c r="D53" s="46" t="s">
        <v>1261</v>
      </c>
      <c r="E53" s="46" t="s">
        <v>1263</v>
      </c>
      <c r="F53" s="46" t="s">
        <v>46</v>
      </c>
      <c r="G53" s="50" t="s">
        <v>1265</v>
      </c>
      <c r="H53" s="74" t="s">
        <v>1273</v>
      </c>
      <c r="I53" s="60" t="s">
        <v>32</v>
      </c>
      <c r="J53" s="61"/>
      <c r="K53" s="61"/>
      <c r="L53" s="61"/>
      <c r="M53" s="61"/>
      <c r="N53" s="61"/>
      <c r="O53" s="61"/>
      <c r="P53" s="61"/>
      <c r="Q53" s="61"/>
      <c r="R53" s="61"/>
      <c r="S53" s="61"/>
      <c r="T53" s="61"/>
      <c r="U53" s="61"/>
      <c r="V53" s="61"/>
      <c r="W53" s="61"/>
      <c r="X53" s="61"/>
      <c r="Y53" s="61"/>
      <c r="Z53" s="61"/>
    </row>
    <row r="54" spans="1:26" ht="126">
      <c r="A54" s="46" t="s">
        <v>1291</v>
      </c>
      <c r="B54" s="46" t="s">
        <v>1292</v>
      </c>
      <c r="C54" s="46" t="s">
        <v>1293</v>
      </c>
      <c r="D54" s="46" t="s">
        <v>1294</v>
      </c>
      <c r="E54" s="46" t="s">
        <v>1295</v>
      </c>
      <c r="F54" s="46" t="s">
        <v>1296</v>
      </c>
      <c r="G54" s="50" t="s">
        <v>1298</v>
      </c>
      <c r="H54" s="25"/>
      <c r="I54" s="60" t="s">
        <v>326</v>
      </c>
      <c r="J54" s="61"/>
      <c r="K54" s="61"/>
      <c r="L54" s="61"/>
      <c r="M54" s="61"/>
      <c r="N54" s="61"/>
      <c r="O54" s="61"/>
      <c r="P54" s="61"/>
      <c r="Q54" s="61"/>
      <c r="R54" s="61"/>
      <c r="S54" s="61"/>
      <c r="T54" s="61"/>
      <c r="U54" s="61"/>
      <c r="V54" s="61"/>
      <c r="W54" s="61"/>
      <c r="X54" s="61"/>
      <c r="Y54" s="61"/>
      <c r="Z54" s="61"/>
    </row>
    <row r="55" spans="1:26" ht="140">
      <c r="A55" s="46" t="s">
        <v>1311</v>
      </c>
      <c r="B55" s="46" t="s">
        <v>1312</v>
      </c>
      <c r="C55" s="46" t="s">
        <v>1313</v>
      </c>
      <c r="D55" s="46" t="s">
        <v>1314</v>
      </c>
      <c r="E55" s="46" t="s">
        <v>1295</v>
      </c>
      <c r="F55" s="46" t="s">
        <v>1296</v>
      </c>
      <c r="G55" s="50" t="s">
        <v>1317</v>
      </c>
      <c r="H55" s="25"/>
      <c r="I55" s="60" t="s">
        <v>32</v>
      </c>
      <c r="J55" s="61"/>
      <c r="K55" s="61"/>
      <c r="L55" s="61"/>
      <c r="M55" s="61"/>
      <c r="N55" s="61"/>
      <c r="O55" s="61"/>
      <c r="P55" s="61"/>
      <c r="Q55" s="61"/>
      <c r="R55" s="61"/>
      <c r="S55" s="61"/>
      <c r="T55" s="61"/>
      <c r="U55" s="61"/>
      <c r="V55" s="61"/>
      <c r="W55" s="61"/>
      <c r="X55" s="61"/>
      <c r="Y55" s="61"/>
      <c r="Z55" s="61"/>
    </row>
    <row r="56" spans="1:26" ht="140">
      <c r="A56" s="46" t="s">
        <v>1332</v>
      </c>
      <c r="B56" s="46" t="s">
        <v>1333</v>
      </c>
      <c r="C56" s="46" t="s">
        <v>1334</v>
      </c>
      <c r="D56" s="46" t="s">
        <v>1294</v>
      </c>
      <c r="E56" s="46" t="s">
        <v>1335</v>
      </c>
      <c r="F56" s="46" t="s">
        <v>46</v>
      </c>
      <c r="G56" s="50" t="s">
        <v>1317</v>
      </c>
      <c r="H56" s="25"/>
      <c r="I56" s="60" t="s">
        <v>470</v>
      </c>
      <c r="J56" s="61"/>
      <c r="K56" s="61"/>
      <c r="L56" s="61"/>
      <c r="M56" s="61"/>
      <c r="N56" s="61"/>
      <c r="O56" s="61"/>
      <c r="P56" s="61"/>
      <c r="Q56" s="61"/>
      <c r="R56" s="61"/>
      <c r="S56" s="61"/>
      <c r="T56" s="61"/>
      <c r="U56" s="61"/>
      <c r="V56" s="61"/>
      <c r="W56" s="61"/>
      <c r="X56" s="61"/>
      <c r="Y56" s="61"/>
      <c r="Z56" s="61"/>
    </row>
    <row r="57" spans="1:26" ht="154">
      <c r="A57" s="46" t="s">
        <v>1356</v>
      </c>
      <c r="B57" s="46" t="s">
        <v>1357</v>
      </c>
      <c r="C57" s="46" t="s">
        <v>1358</v>
      </c>
      <c r="D57" s="46" t="s">
        <v>1359</v>
      </c>
      <c r="E57" s="46" t="s">
        <v>1360</v>
      </c>
      <c r="F57" s="46" t="s">
        <v>46</v>
      </c>
      <c r="G57" s="50" t="s">
        <v>1361</v>
      </c>
      <c r="H57" s="46" t="s">
        <v>1368</v>
      </c>
      <c r="I57" s="60" t="s">
        <v>296</v>
      </c>
      <c r="J57" s="61"/>
      <c r="K57" s="61"/>
      <c r="L57" s="61"/>
      <c r="M57" s="61"/>
      <c r="N57" s="61"/>
      <c r="O57" s="61"/>
      <c r="P57" s="61"/>
      <c r="Q57" s="61"/>
      <c r="R57" s="61"/>
      <c r="S57" s="61"/>
      <c r="T57" s="61"/>
      <c r="U57" s="61"/>
      <c r="V57" s="61"/>
      <c r="W57" s="61"/>
      <c r="X57" s="61"/>
      <c r="Y57" s="61"/>
      <c r="Z57" s="61"/>
    </row>
    <row r="58" spans="1:26" ht="70">
      <c r="A58" s="46" t="s">
        <v>1374</v>
      </c>
      <c r="B58" s="46" t="s">
        <v>1375</v>
      </c>
      <c r="C58" s="46" t="s">
        <v>1376</v>
      </c>
      <c r="D58" s="46" t="s">
        <v>1377</v>
      </c>
      <c r="E58" s="46" t="s">
        <v>1378</v>
      </c>
      <c r="F58" s="46" t="s">
        <v>46</v>
      </c>
      <c r="G58" s="50" t="s">
        <v>1379</v>
      </c>
      <c r="H58" s="46" t="s">
        <v>1389</v>
      </c>
      <c r="I58" s="60" t="s">
        <v>296</v>
      </c>
      <c r="J58" s="61"/>
      <c r="K58" s="61"/>
      <c r="L58" s="61"/>
      <c r="M58" s="61"/>
      <c r="N58" s="61"/>
      <c r="O58" s="61"/>
      <c r="P58" s="61"/>
      <c r="Q58" s="61"/>
      <c r="R58" s="61"/>
      <c r="S58" s="61"/>
      <c r="T58" s="61"/>
      <c r="U58" s="61"/>
      <c r="V58" s="61"/>
      <c r="W58" s="61"/>
      <c r="X58" s="61"/>
      <c r="Y58" s="61"/>
      <c r="Z58" s="61"/>
    </row>
    <row r="59" spans="1:26" ht="252">
      <c r="A59" s="46" t="s">
        <v>1392</v>
      </c>
      <c r="B59" s="46" t="s">
        <v>1394</v>
      </c>
      <c r="C59" s="46" t="s">
        <v>1396</v>
      </c>
      <c r="D59" s="46" t="s">
        <v>1397</v>
      </c>
      <c r="E59" s="46" t="s">
        <v>667</v>
      </c>
      <c r="F59" s="46" t="s">
        <v>387</v>
      </c>
      <c r="G59" s="50" t="s">
        <v>1401</v>
      </c>
      <c r="H59" s="80" t="s">
        <v>98</v>
      </c>
      <c r="I59" s="60" t="s">
        <v>1419</v>
      </c>
      <c r="J59" s="61"/>
      <c r="K59" s="61"/>
      <c r="L59" s="61"/>
      <c r="M59" s="61"/>
      <c r="N59" s="61"/>
      <c r="O59" s="61"/>
      <c r="P59" s="61"/>
      <c r="Q59" s="61"/>
      <c r="R59" s="61"/>
      <c r="S59" s="61"/>
      <c r="T59" s="61"/>
      <c r="U59" s="61"/>
      <c r="V59" s="61"/>
      <c r="W59" s="61"/>
      <c r="X59" s="61"/>
      <c r="Y59" s="61"/>
      <c r="Z59" s="61"/>
    </row>
    <row r="60" spans="1:26" ht="210">
      <c r="A60" s="46" t="s">
        <v>1425</v>
      </c>
      <c r="B60" s="46" t="s">
        <v>1426</v>
      </c>
      <c r="C60" s="46" t="s">
        <v>1427</v>
      </c>
      <c r="D60" s="46" t="s">
        <v>1397</v>
      </c>
      <c r="E60" s="46" t="s">
        <v>667</v>
      </c>
      <c r="F60" s="46" t="s">
        <v>46</v>
      </c>
      <c r="G60" s="50" t="s">
        <v>1428</v>
      </c>
      <c r="H60" s="80" t="s">
        <v>98</v>
      </c>
      <c r="I60" s="60" t="s">
        <v>32</v>
      </c>
      <c r="J60" s="61"/>
      <c r="K60" s="61"/>
      <c r="L60" s="61"/>
      <c r="M60" s="61"/>
      <c r="N60" s="61"/>
      <c r="O60" s="61"/>
      <c r="P60" s="61"/>
      <c r="Q60" s="61"/>
      <c r="R60" s="61"/>
      <c r="S60" s="61"/>
      <c r="T60" s="61"/>
      <c r="U60" s="61"/>
      <c r="V60" s="61"/>
      <c r="W60" s="61"/>
      <c r="X60" s="61"/>
      <c r="Y60" s="61"/>
      <c r="Z60" s="61"/>
    </row>
    <row r="61" spans="1:26" ht="371">
      <c r="A61" s="46" t="s">
        <v>1439</v>
      </c>
      <c r="B61" s="46" t="s">
        <v>1442</v>
      </c>
      <c r="C61" s="46" t="s">
        <v>1444</v>
      </c>
      <c r="D61" s="46" t="s">
        <v>1397</v>
      </c>
      <c r="E61" s="46" t="s">
        <v>667</v>
      </c>
      <c r="F61" s="46" t="s">
        <v>46</v>
      </c>
      <c r="G61" s="50" t="s">
        <v>1449</v>
      </c>
      <c r="H61" s="80" t="s">
        <v>98</v>
      </c>
      <c r="I61" s="60" t="s">
        <v>32</v>
      </c>
      <c r="J61" s="61"/>
      <c r="K61" s="61"/>
      <c r="L61" s="61"/>
      <c r="M61" s="61"/>
      <c r="N61" s="61"/>
      <c r="O61" s="61"/>
      <c r="P61" s="61"/>
      <c r="Q61" s="61"/>
      <c r="R61" s="61"/>
      <c r="S61" s="61"/>
      <c r="T61" s="61"/>
      <c r="U61" s="61"/>
      <c r="V61" s="61"/>
      <c r="W61" s="61"/>
      <c r="X61" s="61"/>
      <c r="Y61" s="61"/>
      <c r="Z61" s="61"/>
    </row>
    <row r="62" spans="1:26" ht="371">
      <c r="A62" s="46" t="s">
        <v>1455</v>
      </c>
      <c r="B62" s="46" t="s">
        <v>1458</v>
      </c>
      <c r="C62" s="46" t="s">
        <v>1459</v>
      </c>
      <c r="D62" s="46" t="s">
        <v>1397</v>
      </c>
      <c r="E62" s="46" t="s">
        <v>667</v>
      </c>
      <c r="F62" s="46" t="s">
        <v>46</v>
      </c>
      <c r="G62" s="50" t="s">
        <v>1462</v>
      </c>
      <c r="H62" s="80" t="s">
        <v>98</v>
      </c>
      <c r="I62" s="60" t="s">
        <v>32</v>
      </c>
      <c r="J62" s="61"/>
      <c r="K62" s="61"/>
      <c r="L62" s="61"/>
      <c r="M62" s="61"/>
      <c r="N62" s="61"/>
      <c r="O62" s="61"/>
      <c r="P62" s="61"/>
      <c r="Q62" s="61"/>
      <c r="R62" s="61"/>
      <c r="S62" s="61"/>
      <c r="T62" s="61"/>
      <c r="U62" s="61"/>
      <c r="V62" s="61"/>
      <c r="W62" s="61"/>
      <c r="X62" s="61"/>
      <c r="Y62" s="61"/>
      <c r="Z62" s="61"/>
    </row>
    <row r="63" spans="1:26" ht="409.6">
      <c r="A63" s="46" t="s">
        <v>1473</v>
      </c>
      <c r="B63" s="46" t="s">
        <v>1476</v>
      </c>
      <c r="C63" s="46" t="s">
        <v>1479</v>
      </c>
      <c r="D63" s="46" t="s">
        <v>1397</v>
      </c>
      <c r="E63" s="46" t="s">
        <v>667</v>
      </c>
      <c r="F63" s="46" t="s">
        <v>46</v>
      </c>
      <c r="G63" s="50" t="s">
        <v>1480</v>
      </c>
      <c r="H63" s="80" t="s">
        <v>98</v>
      </c>
      <c r="I63" s="60" t="s">
        <v>32</v>
      </c>
      <c r="J63" s="61"/>
      <c r="K63" s="61"/>
      <c r="L63" s="61"/>
      <c r="M63" s="61"/>
      <c r="N63" s="61"/>
      <c r="O63" s="61"/>
      <c r="P63" s="61"/>
      <c r="Q63" s="61"/>
      <c r="R63" s="61"/>
      <c r="S63" s="61"/>
      <c r="T63" s="61"/>
      <c r="U63" s="61"/>
      <c r="V63" s="61"/>
      <c r="W63" s="61"/>
      <c r="X63" s="61"/>
      <c r="Y63" s="61"/>
      <c r="Z63" s="61"/>
    </row>
    <row r="64" spans="1:26" ht="409.6">
      <c r="A64" s="46" t="s">
        <v>1492</v>
      </c>
      <c r="B64" s="46" t="s">
        <v>1493</v>
      </c>
      <c r="C64" s="46" t="s">
        <v>1494</v>
      </c>
      <c r="D64" s="46" t="s">
        <v>1397</v>
      </c>
      <c r="E64" s="46" t="s">
        <v>667</v>
      </c>
      <c r="F64" s="46" t="s">
        <v>46</v>
      </c>
      <c r="G64" s="50" t="s">
        <v>1496</v>
      </c>
      <c r="H64" s="80" t="s">
        <v>98</v>
      </c>
      <c r="I64" s="60" t="s">
        <v>32</v>
      </c>
      <c r="J64" s="61"/>
      <c r="K64" s="61"/>
      <c r="L64" s="61"/>
      <c r="M64" s="61"/>
      <c r="N64" s="61"/>
      <c r="O64" s="61"/>
      <c r="P64" s="61"/>
      <c r="Q64" s="61"/>
      <c r="R64" s="61"/>
      <c r="S64" s="61"/>
      <c r="T64" s="61"/>
      <c r="U64" s="61"/>
      <c r="V64" s="61"/>
      <c r="W64" s="61"/>
      <c r="X64" s="61"/>
      <c r="Y64" s="61"/>
      <c r="Z64" s="61"/>
    </row>
    <row r="65" spans="1:26" ht="196">
      <c r="A65" s="81" t="s">
        <v>1506</v>
      </c>
      <c r="B65" s="46" t="s">
        <v>1508</v>
      </c>
      <c r="C65" s="82" t="s">
        <v>1509</v>
      </c>
      <c r="D65" s="46" t="s">
        <v>1514</v>
      </c>
      <c r="E65" s="46" t="s">
        <v>1516</v>
      </c>
      <c r="F65" s="46" t="s">
        <v>46</v>
      </c>
      <c r="G65" s="50" t="s">
        <v>1518</v>
      </c>
      <c r="H65" s="46" t="s">
        <v>1522</v>
      </c>
      <c r="I65" s="60" t="s">
        <v>296</v>
      </c>
      <c r="J65" s="61"/>
      <c r="K65" s="61"/>
      <c r="L65" s="61"/>
      <c r="M65" s="61"/>
      <c r="N65" s="61"/>
      <c r="O65" s="61"/>
      <c r="P65" s="61"/>
      <c r="Q65" s="61"/>
      <c r="R65" s="61"/>
      <c r="S65" s="61"/>
      <c r="T65" s="61"/>
      <c r="U65" s="61"/>
      <c r="V65" s="61"/>
      <c r="W65" s="61"/>
      <c r="X65" s="61"/>
      <c r="Y65" s="61"/>
      <c r="Z65" s="61"/>
    </row>
    <row r="66" spans="1:26" ht="196">
      <c r="A66" s="80" t="s">
        <v>1527</v>
      </c>
      <c r="B66" s="46" t="s">
        <v>1528</v>
      </c>
      <c r="C66" s="82" t="s">
        <v>1529</v>
      </c>
      <c r="D66" s="46" t="s">
        <v>1514</v>
      </c>
      <c r="E66" s="46" t="s">
        <v>1516</v>
      </c>
      <c r="F66" s="46" t="s">
        <v>46</v>
      </c>
      <c r="G66" s="50" t="s">
        <v>1531</v>
      </c>
      <c r="H66" s="46" t="s">
        <v>1522</v>
      </c>
      <c r="I66" s="60" t="s">
        <v>470</v>
      </c>
      <c r="J66" s="61"/>
      <c r="K66" s="61"/>
      <c r="L66" s="61"/>
      <c r="M66" s="61"/>
      <c r="N66" s="61"/>
      <c r="O66" s="61"/>
      <c r="P66" s="61"/>
      <c r="Q66" s="61"/>
      <c r="R66" s="61"/>
      <c r="S66" s="61"/>
      <c r="T66" s="61"/>
      <c r="U66" s="61"/>
      <c r="V66" s="61"/>
      <c r="W66" s="61"/>
      <c r="X66" s="61"/>
      <c r="Y66" s="61"/>
      <c r="Z66" s="61"/>
    </row>
    <row r="67" spans="1:26" ht="266">
      <c r="A67" s="45" t="s">
        <v>1545</v>
      </c>
      <c r="B67" s="46" t="s">
        <v>1548</v>
      </c>
      <c r="C67" s="46" t="s">
        <v>1549</v>
      </c>
      <c r="D67" s="59" t="str">
        <f>HYPERLINK("https://www.holistics.io/","Holistics Software")</f>
        <v>Holistics Software</v>
      </c>
      <c r="E67" s="46" t="s">
        <v>1557</v>
      </c>
      <c r="F67" s="46" t="s">
        <v>46</v>
      </c>
      <c r="G67" s="50" t="s">
        <v>1558</v>
      </c>
      <c r="H67" s="46" t="s">
        <v>1565</v>
      </c>
      <c r="I67" s="60" t="s">
        <v>161</v>
      </c>
      <c r="J67" s="61"/>
      <c r="K67" s="61"/>
      <c r="L67" s="61"/>
      <c r="M67" s="61"/>
      <c r="N67" s="61"/>
      <c r="O67" s="61"/>
      <c r="P67" s="61"/>
      <c r="Q67" s="61"/>
      <c r="R67" s="61"/>
      <c r="S67" s="61"/>
      <c r="T67" s="61"/>
      <c r="U67" s="61"/>
      <c r="V67" s="61"/>
      <c r="W67" s="61"/>
      <c r="X67" s="61"/>
      <c r="Y67" s="61"/>
      <c r="Z67" s="61"/>
    </row>
    <row r="68" spans="1:26" ht="14">
      <c r="A68" s="45" t="s">
        <v>1568</v>
      </c>
      <c r="B68" s="46" t="s">
        <v>1569</v>
      </c>
      <c r="C68" s="46" t="s">
        <v>1570</v>
      </c>
      <c r="D68" s="59" t="str">
        <f>HYPERLINK("www.zenyum.com","Zenyum")</f>
        <v>Zenyum</v>
      </c>
      <c r="E68" s="46" t="s">
        <v>1574</v>
      </c>
      <c r="F68" s="46" t="s">
        <v>46</v>
      </c>
      <c r="G68" s="50" t="s">
        <v>1575</v>
      </c>
      <c r="H68" s="46" t="s">
        <v>98</v>
      </c>
      <c r="I68" s="60" t="s">
        <v>63</v>
      </c>
      <c r="J68" s="52"/>
      <c r="K68" s="52"/>
      <c r="L68" s="52"/>
      <c r="M68" s="52"/>
      <c r="N68" s="52"/>
      <c r="O68" s="52"/>
      <c r="P68" s="52"/>
      <c r="Q68" s="52"/>
      <c r="R68" s="52"/>
      <c r="S68" s="52"/>
      <c r="T68" s="52"/>
      <c r="U68" s="52"/>
      <c r="V68" s="52"/>
      <c r="W68" s="52"/>
      <c r="X68" s="52"/>
      <c r="Y68" s="52"/>
      <c r="Z68" s="52"/>
    </row>
    <row r="69" spans="1:26" ht="69" customHeight="1">
      <c r="A69" s="83" t="s">
        <v>1591</v>
      </c>
      <c r="B69" s="84" t="s">
        <v>1593</v>
      </c>
      <c r="C69" s="85" t="s">
        <v>1597</v>
      </c>
      <c r="D69" s="86" t="str">
        <f t="shared" ref="D69:D74" si="0">HYPERLINK("www.hreasily.com","HReasily")</f>
        <v>HReasily</v>
      </c>
      <c r="E69" s="87" t="s">
        <v>1606</v>
      </c>
      <c r="F69" s="87" t="s">
        <v>1613</v>
      </c>
      <c r="G69" s="88"/>
      <c r="H69" s="87" t="s">
        <v>1618</v>
      </c>
      <c r="I69" s="89" t="s">
        <v>32</v>
      </c>
      <c r="J69" s="90"/>
      <c r="K69" s="90"/>
      <c r="L69" s="90"/>
      <c r="M69" s="90"/>
      <c r="N69" s="90"/>
      <c r="O69" s="90"/>
      <c r="P69" s="90"/>
      <c r="Q69" s="90"/>
      <c r="R69" s="90"/>
      <c r="S69" s="90"/>
      <c r="T69" s="90"/>
      <c r="U69" s="90"/>
      <c r="V69" s="90"/>
      <c r="W69" s="90"/>
      <c r="X69" s="90"/>
      <c r="Y69" s="90"/>
      <c r="Z69" s="90"/>
    </row>
    <row r="70" spans="1:26" ht="77.25" customHeight="1">
      <c r="A70" s="83" t="s">
        <v>1630</v>
      </c>
      <c r="B70" s="91" t="s">
        <v>1631</v>
      </c>
      <c r="C70" s="85" t="s">
        <v>1597</v>
      </c>
      <c r="D70" s="86" t="str">
        <f t="shared" si="0"/>
        <v>HReasily</v>
      </c>
      <c r="E70" s="87" t="s">
        <v>1606</v>
      </c>
      <c r="F70" s="87" t="s">
        <v>1613</v>
      </c>
      <c r="G70" s="88"/>
      <c r="H70" s="87" t="s">
        <v>1618</v>
      </c>
      <c r="I70" s="89" t="s">
        <v>32</v>
      </c>
      <c r="J70" s="90"/>
      <c r="K70" s="90"/>
      <c r="L70" s="90"/>
      <c r="M70" s="90"/>
      <c r="N70" s="90"/>
      <c r="O70" s="90"/>
      <c r="P70" s="90"/>
      <c r="Q70" s="90"/>
      <c r="R70" s="90"/>
      <c r="S70" s="90"/>
      <c r="T70" s="90"/>
      <c r="U70" s="90"/>
      <c r="V70" s="90"/>
      <c r="W70" s="90"/>
      <c r="X70" s="90"/>
      <c r="Y70" s="90"/>
      <c r="Z70" s="90"/>
    </row>
    <row r="71" spans="1:26" ht="50.25" customHeight="1">
      <c r="A71" s="92" t="s">
        <v>1332</v>
      </c>
      <c r="B71" s="91" t="s">
        <v>1649</v>
      </c>
      <c r="C71" s="85" t="s">
        <v>1597</v>
      </c>
      <c r="D71" s="86" t="str">
        <f t="shared" si="0"/>
        <v>HReasily</v>
      </c>
      <c r="E71" s="87" t="s">
        <v>1606</v>
      </c>
      <c r="F71" s="87" t="s">
        <v>1613</v>
      </c>
      <c r="G71" s="36"/>
      <c r="H71" s="87" t="s">
        <v>1650</v>
      </c>
      <c r="I71" s="60" t="s">
        <v>470</v>
      </c>
      <c r="J71" s="61"/>
      <c r="K71" s="61"/>
      <c r="L71" s="61"/>
      <c r="M71" s="61"/>
      <c r="N71" s="61"/>
      <c r="O71" s="61"/>
      <c r="P71" s="61"/>
      <c r="Q71" s="61"/>
      <c r="R71" s="61"/>
      <c r="S71" s="61"/>
      <c r="T71" s="61"/>
      <c r="U71" s="61"/>
      <c r="V71" s="61"/>
      <c r="W71" s="61"/>
      <c r="X71" s="61"/>
      <c r="Y71" s="61"/>
      <c r="Z71" s="61"/>
    </row>
    <row r="72" spans="1:26" ht="60.75" customHeight="1">
      <c r="A72" s="92" t="s">
        <v>1658</v>
      </c>
      <c r="B72" s="91" t="s">
        <v>1659</v>
      </c>
      <c r="C72" s="85" t="s">
        <v>1660</v>
      </c>
      <c r="D72" s="86" t="str">
        <f t="shared" si="0"/>
        <v>HReasily</v>
      </c>
      <c r="E72" s="87" t="s">
        <v>1606</v>
      </c>
      <c r="F72" s="87" t="s">
        <v>1613</v>
      </c>
      <c r="G72" s="36"/>
      <c r="H72" s="87" t="s">
        <v>1618</v>
      </c>
      <c r="I72" s="89" t="s">
        <v>32</v>
      </c>
      <c r="J72" s="52"/>
      <c r="K72" s="52"/>
      <c r="L72" s="52"/>
      <c r="M72" s="52"/>
      <c r="N72" s="52"/>
      <c r="O72" s="52"/>
      <c r="P72" s="52"/>
      <c r="Q72" s="52"/>
      <c r="R72" s="52"/>
      <c r="S72" s="52"/>
      <c r="T72" s="52"/>
      <c r="U72" s="52"/>
      <c r="V72" s="52"/>
      <c r="W72" s="52"/>
      <c r="X72" s="52"/>
      <c r="Y72" s="52"/>
      <c r="Z72" s="52"/>
    </row>
    <row r="73" spans="1:26" ht="42">
      <c r="A73" s="93" t="s">
        <v>1671</v>
      </c>
      <c r="B73" s="94" t="s">
        <v>1682</v>
      </c>
      <c r="C73" s="85" t="s">
        <v>1688</v>
      </c>
      <c r="D73" s="86" t="str">
        <f t="shared" si="0"/>
        <v>HReasily</v>
      </c>
      <c r="E73" s="87" t="s">
        <v>1606</v>
      </c>
      <c r="F73" s="87" t="s">
        <v>1613</v>
      </c>
      <c r="G73" s="95"/>
      <c r="H73" s="87" t="s">
        <v>1693</v>
      </c>
      <c r="I73" s="60" t="s">
        <v>63</v>
      </c>
      <c r="J73" s="18"/>
      <c r="K73" s="18"/>
      <c r="L73" s="18"/>
      <c r="M73" s="18"/>
      <c r="N73" s="18"/>
      <c r="O73" s="18"/>
      <c r="P73" s="18"/>
      <c r="Q73" s="18"/>
      <c r="R73" s="18"/>
      <c r="S73" s="18"/>
      <c r="T73" s="18"/>
      <c r="U73" s="18"/>
      <c r="V73" s="18"/>
      <c r="W73" s="18"/>
      <c r="X73" s="18"/>
      <c r="Y73" s="18"/>
      <c r="Z73" s="18"/>
    </row>
    <row r="74" spans="1:26" ht="56">
      <c r="A74" s="83" t="s">
        <v>1698</v>
      </c>
      <c r="B74" s="94" t="s">
        <v>1701</v>
      </c>
      <c r="C74" s="85" t="s">
        <v>1597</v>
      </c>
      <c r="D74" s="86" t="str">
        <f t="shared" si="0"/>
        <v>HReasily</v>
      </c>
      <c r="E74" s="87" t="s">
        <v>1606</v>
      </c>
      <c r="F74" s="87" t="s">
        <v>1613</v>
      </c>
      <c r="G74" s="88"/>
      <c r="H74" s="87" t="s">
        <v>1693</v>
      </c>
      <c r="I74" s="60" t="s">
        <v>326</v>
      </c>
      <c r="J74" s="90"/>
      <c r="K74" s="90"/>
      <c r="L74" s="90"/>
      <c r="M74" s="90"/>
      <c r="N74" s="90"/>
      <c r="O74" s="90"/>
      <c r="P74" s="90"/>
      <c r="Q74" s="90"/>
      <c r="R74" s="90"/>
      <c r="S74" s="90"/>
      <c r="T74" s="90"/>
      <c r="U74" s="90"/>
      <c r="V74" s="90"/>
      <c r="W74" s="90"/>
      <c r="X74" s="90"/>
      <c r="Y74" s="90"/>
      <c r="Z74" s="90"/>
    </row>
    <row r="75" spans="1:26" ht="98">
      <c r="A75" s="45" t="s">
        <v>1709</v>
      </c>
      <c r="B75" s="96" t="s">
        <v>1710</v>
      </c>
      <c r="C75" s="96" t="s">
        <v>1717</v>
      </c>
      <c r="D75" s="46" t="s">
        <v>1718</v>
      </c>
      <c r="E75" s="46" t="s">
        <v>1719</v>
      </c>
      <c r="F75" s="46" t="s">
        <v>46</v>
      </c>
      <c r="G75" s="50" t="s">
        <v>1720</v>
      </c>
      <c r="H75" s="46" t="s">
        <v>98</v>
      </c>
      <c r="I75" s="60" t="s">
        <v>1419</v>
      </c>
      <c r="J75" s="61"/>
      <c r="K75" s="61"/>
      <c r="L75" s="61"/>
      <c r="M75" s="61"/>
      <c r="N75" s="61"/>
      <c r="O75" s="61"/>
      <c r="P75" s="61"/>
      <c r="Q75" s="61"/>
      <c r="R75" s="61"/>
      <c r="S75" s="61"/>
      <c r="T75" s="61"/>
      <c r="U75" s="61"/>
      <c r="V75" s="61"/>
      <c r="W75" s="61"/>
      <c r="X75" s="61"/>
      <c r="Y75" s="61"/>
      <c r="Z75" s="61"/>
    </row>
    <row r="76" spans="1:26" ht="140">
      <c r="A76" s="45" t="s">
        <v>1745</v>
      </c>
      <c r="B76" s="82" t="s">
        <v>1747</v>
      </c>
      <c r="C76" s="82" t="s">
        <v>1748</v>
      </c>
      <c r="D76" s="46" t="s">
        <v>1718</v>
      </c>
      <c r="E76" s="46" t="s">
        <v>1719</v>
      </c>
      <c r="F76" s="46" t="s">
        <v>46</v>
      </c>
      <c r="G76" s="50" t="s">
        <v>1752</v>
      </c>
      <c r="H76" s="46" t="s">
        <v>98</v>
      </c>
      <c r="I76" s="60" t="s">
        <v>214</v>
      </c>
      <c r="J76" s="61"/>
      <c r="K76" s="61"/>
      <c r="L76" s="61"/>
      <c r="M76" s="61"/>
      <c r="N76" s="61"/>
      <c r="O76" s="61"/>
      <c r="P76" s="61"/>
      <c r="Q76" s="61"/>
      <c r="R76" s="61"/>
      <c r="S76" s="61"/>
      <c r="T76" s="61"/>
      <c r="U76" s="61"/>
      <c r="V76" s="61"/>
      <c r="W76" s="61"/>
      <c r="X76" s="61"/>
      <c r="Y76" s="61"/>
      <c r="Z76" s="61"/>
    </row>
    <row r="77" spans="1:26" ht="84">
      <c r="A77" s="97" t="s">
        <v>1764</v>
      </c>
      <c r="B77" s="82" t="s">
        <v>1770</v>
      </c>
      <c r="C77" s="82" t="s">
        <v>1771</v>
      </c>
      <c r="D77" s="46" t="s">
        <v>1718</v>
      </c>
      <c r="E77" s="46" t="s">
        <v>1719</v>
      </c>
      <c r="F77" s="46" t="s">
        <v>46</v>
      </c>
      <c r="G77" s="50" t="s">
        <v>1776</v>
      </c>
      <c r="H77" s="46" t="s">
        <v>98</v>
      </c>
      <c r="I77" s="60" t="s">
        <v>433</v>
      </c>
      <c r="J77" s="61"/>
      <c r="K77" s="61"/>
      <c r="L77" s="61"/>
      <c r="M77" s="61"/>
      <c r="N77" s="61"/>
      <c r="O77" s="61"/>
      <c r="P77" s="61"/>
      <c r="Q77" s="61"/>
      <c r="R77" s="61"/>
      <c r="S77" s="61"/>
      <c r="T77" s="61"/>
      <c r="U77" s="61"/>
      <c r="V77" s="61"/>
      <c r="W77" s="61"/>
      <c r="X77" s="61"/>
      <c r="Y77" s="61"/>
      <c r="Z77" s="61"/>
    </row>
    <row r="78" spans="1:26" ht="126">
      <c r="A78" s="97" t="s">
        <v>1792</v>
      </c>
      <c r="B78" s="82" t="s">
        <v>1793</v>
      </c>
      <c r="C78" s="82" t="s">
        <v>1796</v>
      </c>
      <c r="D78" s="46" t="s">
        <v>1718</v>
      </c>
      <c r="E78" s="46" t="s">
        <v>1719</v>
      </c>
      <c r="F78" s="46" t="s">
        <v>46</v>
      </c>
      <c r="G78" s="50" t="s">
        <v>1801</v>
      </c>
      <c r="H78" s="46" t="s">
        <v>98</v>
      </c>
      <c r="I78" s="60" t="s">
        <v>32</v>
      </c>
      <c r="J78" s="61"/>
      <c r="K78" s="61"/>
      <c r="L78" s="61"/>
      <c r="M78" s="61"/>
      <c r="N78" s="61"/>
      <c r="O78" s="61"/>
      <c r="P78" s="61"/>
      <c r="Q78" s="61"/>
      <c r="R78" s="61"/>
      <c r="S78" s="61"/>
      <c r="T78" s="61"/>
      <c r="U78" s="61"/>
      <c r="V78" s="61"/>
      <c r="W78" s="61"/>
      <c r="X78" s="61"/>
      <c r="Y78" s="61"/>
      <c r="Z78" s="61"/>
    </row>
    <row r="79" spans="1:26" ht="154">
      <c r="A79" s="97" t="s">
        <v>1809</v>
      </c>
      <c r="B79" s="82" t="s">
        <v>1810</v>
      </c>
      <c r="C79" s="82" t="s">
        <v>1812</v>
      </c>
      <c r="D79" s="46" t="s">
        <v>1718</v>
      </c>
      <c r="E79" s="46" t="s">
        <v>1719</v>
      </c>
      <c r="F79" s="46" t="s">
        <v>46</v>
      </c>
      <c r="G79" s="50" t="s">
        <v>1817</v>
      </c>
      <c r="H79" s="46" t="s">
        <v>98</v>
      </c>
      <c r="I79" s="60" t="s">
        <v>63</v>
      </c>
      <c r="J79" s="61"/>
      <c r="K79" s="61"/>
      <c r="L79" s="61"/>
      <c r="M79" s="61"/>
      <c r="N79" s="61"/>
      <c r="O79" s="61"/>
      <c r="P79" s="61"/>
      <c r="Q79" s="61"/>
      <c r="R79" s="61"/>
      <c r="S79" s="61"/>
      <c r="T79" s="61"/>
      <c r="U79" s="61"/>
      <c r="V79" s="61"/>
      <c r="W79" s="61"/>
      <c r="X79" s="61"/>
      <c r="Y79" s="61"/>
      <c r="Z79" s="61"/>
    </row>
    <row r="80" spans="1:26" ht="84">
      <c r="A80" s="97" t="s">
        <v>1833</v>
      </c>
      <c r="B80" s="82" t="s">
        <v>1836</v>
      </c>
      <c r="C80" s="82" t="s">
        <v>1837</v>
      </c>
      <c r="D80" s="46" t="s">
        <v>1718</v>
      </c>
      <c r="E80" s="46" t="s">
        <v>1719</v>
      </c>
      <c r="F80" s="46" t="s">
        <v>46</v>
      </c>
      <c r="G80" s="50" t="s">
        <v>1841</v>
      </c>
      <c r="H80" s="46" t="s">
        <v>98</v>
      </c>
      <c r="I80" s="60" t="s">
        <v>266</v>
      </c>
      <c r="J80" s="61"/>
      <c r="K80" s="61"/>
      <c r="L80" s="61"/>
      <c r="M80" s="61"/>
      <c r="N80" s="61"/>
      <c r="O80" s="61"/>
      <c r="P80" s="61"/>
      <c r="Q80" s="61"/>
      <c r="R80" s="61"/>
      <c r="S80" s="61"/>
      <c r="T80" s="61"/>
      <c r="U80" s="61"/>
      <c r="V80" s="61"/>
      <c r="W80" s="61"/>
      <c r="X80" s="61"/>
      <c r="Y80" s="61"/>
      <c r="Z80" s="61"/>
    </row>
    <row r="81" spans="1:26" ht="98">
      <c r="A81" s="45" t="s">
        <v>1855</v>
      </c>
      <c r="B81" s="46" t="s">
        <v>1856</v>
      </c>
      <c r="C81" s="46" t="s">
        <v>1857</v>
      </c>
      <c r="D81" s="46" t="s">
        <v>1858</v>
      </c>
      <c r="E81" s="46" t="s">
        <v>667</v>
      </c>
      <c r="F81" s="46" t="s">
        <v>1859</v>
      </c>
      <c r="G81" s="50" t="s">
        <v>1860</v>
      </c>
      <c r="H81" s="46" t="s">
        <v>98</v>
      </c>
      <c r="I81" s="60" t="s">
        <v>32</v>
      </c>
      <c r="J81" s="61"/>
      <c r="K81" s="61"/>
      <c r="L81" s="61"/>
      <c r="M81" s="61"/>
      <c r="N81" s="61"/>
      <c r="O81" s="61"/>
      <c r="P81" s="61"/>
      <c r="Q81" s="61"/>
      <c r="R81" s="61"/>
      <c r="S81" s="61"/>
      <c r="T81" s="61"/>
      <c r="U81" s="61"/>
      <c r="V81" s="61"/>
      <c r="W81" s="61"/>
      <c r="X81" s="61"/>
      <c r="Y81" s="61"/>
      <c r="Z81" s="61"/>
    </row>
    <row r="82" spans="1:26" ht="70">
      <c r="A82" s="45" t="s">
        <v>1888</v>
      </c>
      <c r="B82" s="46" t="s">
        <v>1892</v>
      </c>
      <c r="C82" s="46" t="s">
        <v>1893</v>
      </c>
      <c r="D82" s="46" t="s">
        <v>1858</v>
      </c>
      <c r="E82" s="46" t="s">
        <v>667</v>
      </c>
      <c r="F82" s="46" t="s">
        <v>1894</v>
      </c>
      <c r="G82" s="50" t="s">
        <v>1895</v>
      </c>
      <c r="H82" s="46" t="s">
        <v>98</v>
      </c>
      <c r="I82" s="60" t="s">
        <v>32</v>
      </c>
      <c r="J82" s="61"/>
      <c r="K82" s="61"/>
      <c r="L82" s="61"/>
      <c r="M82" s="61"/>
      <c r="N82" s="61"/>
      <c r="O82" s="61"/>
      <c r="P82" s="61"/>
      <c r="Q82" s="61"/>
      <c r="R82" s="61"/>
      <c r="S82" s="61"/>
      <c r="T82" s="61"/>
      <c r="U82" s="61"/>
      <c r="V82" s="61"/>
      <c r="W82" s="61"/>
      <c r="X82" s="61"/>
      <c r="Y82" s="61"/>
      <c r="Z82" s="61"/>
    </row>
    <row r="83" spans="1:26" ht="112">
      <c r="A83" s="45" t="s">
        <v>1911</v>
      </c>
      <c r="B83" s="46" t="s">
        <v>1913</v>
      </c>
      <c r="C83" s="46" t="s">
        <v>1915</v>
      </c>
      <c r="D83" s="46" t="s">
        <v>1858</v>
      </c>
      <c r="E83" s="46" t="s">
        <v>667</v>
      </c>
      <c r="F83" s="46" t="s">
        <v>46</v>
      </c>
      <c r="G83" s="50" t="s">
        <v>1918</v>
      </c>
      <c r="H83" s="46" t="s">
        <v>98</v>
      </c>
      <c r="I83" s="60" t="s">
        <v>326</v>
      </c>
      <c r="J83" s="61"/>
      <c r="K83" s="61"/>
      <c r="L83" s="61"/>
      <c r="M83" s="61"/>
      <c r="N83" s="61"/>
      <c r="O83" s="61"/>
      <c r="P83" s="61"/>
      <c r="Q83" s="61"/>
      <c r="R83" s="61"/>
      <c r="S83" s="61"/>
      <c r="T83" s="61"/>
      <c r="U83" s="61"/>
      <c r="V83" s="61"/>
      <c r="W83" s="61"/>
      <c r="X83" s="61"/>
      <c r="Y83" s="61"/>
      <c r="Z83" s="61"/>
    </row>
    <row r="84" spans="1:26" ht="98">
      <c r="A84" s="45" t="s">
        <v>1932</v>
      </c>
      <c r="B84" s="46" t="s">
        <v>1935</v>
      </c>
      <c r="C84" s="46" t="s">
        <v>1936</v>
      </c>
      <c r="D84" s="46" t="s">
        <v>1858</v>
      </c>
      <c r="E84" s="46" t="s">
        <v>667</v>
      </c>
      <c r="F84" s="46" t="s">
        <v>1937</v>
      </c>
      <c r="G84" s="50" t="s">
        <v>1938</v>
      </c>
      <c r="H84" s="46" t="s">
        <v>1946</v>
      </c>
      <c r="I84" s="60" t="s">
        <v>357</v>
      </c>
      <c r="J84" s="61"/>
      <c r="K84" s="61"/>
      <c r="L84" s="61"/>
      <c r="M84" s="61"/>
      <c r="N84" s="61"/>
      <c r="O84" s="61"/>
      <c r="P84" s="61"/>
      <c r="Q84" s="61"/>
      <c r="R84" s="61"/>
      <c r="S84" s="61"/>
      <c r="T84" s="61"/>
      <c r="U84" s="61"/>
      <c r="V84" s="61"/>
      <c r="W84" s="61"/>
      <c r="X84" s="61"/>
      <c r="Y84" s="61"/>
      <c r="Z84" s="61"/>
    </row>
    <row r="85" spans="1:26" ht="140">
      <c r="A85" s="45" t="s">
        <v>1955</v>
      </c>
      <c r="B85" s="46" t="s">
        <v>1956</v>
      </c>
      <c r="C85" s="46" t="s">
        <v>1957</v>
      </c>
      <c r="D85" s="46" t="s">
        <v>1858</v>
      </c>
      <c r="E85" s="46" t="s">
        <v>667</v>
      </c>
      <c r="F85" s="46" t="s">
        <v>1958</v>
      </c>
      <c r="G85" s="50" t="s">
        <v>1960</v>
      </c>
      <c r="H85" s="46" t="s">
        <v>98</v>
      </c>
      <c r="I85" s="60" t="s">
        <v>63</v>
      </c>
      <c r="J85" s="61"/>
      <c r="K85" s="61"/>
      <c r="L85" s="61"/>
      <c r="M85" s="61"/>
      <c r="N85" s="61"/>
      <c r="O85" s="61"/>
      <c r="P85" s="61"/>
      <c r="Q85" s="61"/>
      <c r="R85" s="61"/>
      <c r="S85" s="61"/>
      <c r="T85" s="61"/>
      <c r="U85" s="61"/>
      <c r="V85" s="61"/>
      <c r="W85" s="61"/>
      <c r="X85" s="61"/>
      <c r="Y85" s="61"/>
      <c r="Z85" s="61"/>
    </row>
    <row r="86" spans="1:26" ht="112">
      <c r="A86" s="45" t="s">
        <v>1976</v>
      </c>
      <c r="B86" s="46" t="s">
        <v>1978</v>
      </c>
      <c r="C86" s="46" t="s">
        <v>1980</v>
      </c>
      <c r="D86" s="46" t="s">
        <v>1858</v>
      </c>
      <c r="E86" s="46" t="s">
        <v>667</v>
      </c>
      <c r="F86" s="46" t="s">
        <v>46</v>
      </c>
      <c r="G86" s="50" t="s">
        <v>1984</v>
      </c>
      <c r="H86" s="46" t="s">
        <v>98</v>
      </c>
      <c r="I86" s="60" t="s">
        <v>63</v>
      </c>
      <c r="J86" s="61"/>
      <c r="K86" s="61"/>
      <c r="L86" s="61"/>
      <c r="M86" s="61"/>
      <c r="N86" s="61"/>
      <c r="O86" s="61"/>
      <c r="P86" s="61"/>
      <c r="Q86" s="61"/>
      <c r="R86" s="61"/>
      <c r="S86" s="61"/>
      <c r="T86" s="61"/>
      <c r="U86" s="61"/>
      <c r="V86" s="61"/>
      <c r="W86" s="61"/>
      <c r="X86" s="61"/>
      <c r="Y86" s="61"/>
      <c r="Z86" s="61"/>
    </row>
    <row r="87" spans="1:26" ht="112">
      <c r="A87" s="45" t="s">
        <v>1386</v>
      </c>
      <c r="B87" s="46" t="s">
        <v>1999</v>
      </c>
      <c r="C87" s="46" t="s">
        <v>2000</v>
      </c>
      <c r="D87" s="46" t="s">
        <v>2001</v>
      </c>
      <c r="E87" s="46" t="s">
        <v>2002</v>
      </c>
      <c r="F87" s="46" t="s">
        <v>33</v>
      </c>
      <c r="G87" s="50" t="s">
        <v>2003</v>
      </c>
      <c r="H87" s="80" t="s">
        <v>2014</v>
      </c>
      <c r="I87" s="60" t="s">
        <v>32</v>
      </c>
      <c r="J87" s="61"/>
      <c r="K87" s="61"/>
      <c r="L87" s="61"/>
      <c r="M87" s="61"/>
      <c r="N87" s="61"/>
      <c r="O87" s="61"/>
      <c r="P87" s="61"/>
      <c r="Q87" s="61"/>
      <c r="R87" s="61"/>
      <c r="S87" s="61"/>
      <c r="T87" s="61"/>
      <c r="U87" s="61"/>
      <c r="V87" s="61"/>
      <c r="W87" s="61"/>
      <c r="X87" s="61"/>
      <c r="Y87" s="61"/>
      <c r="Z87" s="61"/>
    </row>
    <row r="88" spans="1:26" ht="84">
      <c r="A88" s="45" t="s">
        <v>2015</v>
      </c>
      <c r="B88" s="46" t="s">
        <v>2016</v>
      </c>
      <c r="C88" s="46" t="s">
        <v>2018</v>
      </c>
      <c r="D88" s="46" t="s">
        <v>2001</v>
      </c>
      <c r="E88" s="46" t="s">
        <v>2002</v>
      </c>
      <c r="F88" s="46" t="s">
        <v>33</v>
      </c>
      <c r="G88" s="50" t="s">
        <v>2003</v>
      </c>
      <c r="H88" s="80" t="s">
        <v>2014</v>
      </c>
      <c r="I88" s="60" t="s">
        <v>32</v>
      </c>
      <c r="J88" s="61"/>
      <c r="K88" s="61"/>
      <c r="L88" s="61"/>
      <c r="M88" s="61"/>
      <c r="N88" s="61"/>
      <c r="O88" s="61"/>
      <c r="P88" s="61"/>
      <c r="Q88" s="61"/>
      <c r="R88" s="61"/>
      <c r="S88" s="61"/>
      <c r="T88" s="61"/>
      <c r="U88" s="61"/>
      <c r="V88" s="61"/>
      <c r="W88" s="61"/>
      <c r="X88" s="61"/>
      <c r="Y88" s="61"/>
      <c r="Z88" s="61"/>
    </row>
    <row r="89" spans="1:26" ht="112">
      <c r="A89" s="45" t="s">
        <v>2033</v>
      </c>
      <c r="B89" s="46" t="s">
        <v>2036</v>
      </c>
      <c r="C89" s="46" t="s">
        <v>2037</v>
      </c>
      <c r="D89" s="46" t="s">
        <v>2001</v>
      </c>
      <c r="E89" s="46" t="s">
        <v>2002</v>
      </c>
      <c r="F89" s="46" t="s">
        <v>33</v>
      </c>
      <c r="G89" s="50" t="s">
        <v>2003</v>
      </c>
      <c r="H89" s="80" t="s">
        <v>2014</v>
      </c>
      <c r="I89" s="60" t="s">
        <v>32</v>
      </c>
      <c r="J89" s="61"/>
      <c r="K89" s="61"/>
      <c r="L89" s="61"/>
      <c r="M89" s="61"/>
      <c r="N89" s="61"/>
      <c r="O89" s="61"/>
      <c r="P89" s="61"/>
      <c r="Q89" s="61"/>
      <c r="R89" s="61"/>
      <c r="S89" s="61"/>
      <c r="T89" s="61"/>
      <c r="U89" s="61"/>
      <c r="V89" s="61"/>
      <c r="W89" s="61"/>
      <c r="X89" s="61"/>
      <c r="Y89" s="61"/>
      <c r="Z89" s="61"/>
    </row>
    <row r="90" spans="1:26" ht="126">
      <c r="A90" s="45" t="s">
        <v>2053</v>
      </c>
      <c r="B90" s="46" t="s">
        <v>2054</v>
      </c>
      <c r="C90" s="46" t="s">
        <v>2055</v>
      </c>
      <c r="D90" s="46" t="s">
        <v>2001</v>
      </c>
      <c r="E90" s="46" t="s">
        <v>2002</v>
      </c>
      <c r="F90" s="46" t="s">
        <v>33</v>
      </c>
      <c r="G90" s="50" t="s">
        <v>2003</v>
      </c>
      <c r="H90" s="80" t="s">
        <v>2014</v>
      </c>
      <c r="I90" s="60" t="s">
        <v>32</v>
      </c>
      <c r="J90" s="61"/>
      <c r="K90" s="61"/>
      <c r="L90" s="61"/>
      <c r="M90" s="61"/>
      <c r="N90" s="61"/>
      <c r="O90" s="61"/>
      <c r="P90" s="61"/>
      <c r="Q90" s="61"/>
      <c r="R90" s="61"/>
      <c r="S90" s="61"/>
      <c r="T90" s="61"/>
      <c r="U90" s="61"/>
      <c r="V90" s="61"/>
      <c r="W90" s="61"/>
      <c r="X90" s="61"/>
      <c r="Y90" s="61"/>
      <c r="Z90" s="61"/>
    </row>
    <row r="91" spans="1:26" ht="154">
      <c r="A91" s="45" t="s">
        <v>2071</v>
      </c>
      <c r="B91" s="46" t="s">
        <v>2072</v>
      </c>
      <c r="C91" s="46" t="s">
        <v>2073</v>
      </c>
      <c r="D91" s="46" t="s">
        <v>2001</v>
      </c>
      <c r="E91" s="46" t="s">
        <v>2002</v>
      </c>
      <c r="F91" s="46" t="s">
        <v>33</v>
      </c>
      <c r="G91" s="50" t="s">
        <v>2003</v>
      </c>
      <c r="H91" s="80" t="s">
        <v>2014</v>
      </c>
      <c r="I91" s="60" t="s">
        <v>32</v>
      </c>
      <c r="J91" s="61"/>
      <c r="K91" s="61"/>
      <c r="L91" s="61"/>
      <c r="M91" s="61"/>
      <c r="N91" s="61"/>
      <c r="O91" s="61"/>
      <c r="P91" s="61"/>
      <c r="Q91" s="61"/>
      <c r="R91" s="61"/>
      <c r="S91" s="61"/>
      <c r="T91" s="61"/>
      <c r="U91" s="61"/>
      <c r="V91" s="61"/>
      <c r="W91" s="61"/>
      <c r="X91" s="61"/>
      <c r="Y91" s="61"/>
      <c r="Z91" s="61"/>
    </row>
    <row r="92" spans="1:26" ht="112">
      <c r="A92" s="45" t="s">
        <v>2088</v>
      </c>
      <c r="B92" s="46" t="s">
        <v>2089</v>
      </c>
      <c r="C92" s="46" t="s">
        <v>2091</v>
      </c>
      <c r="D92" s="46" t="s">
        <v>2001</v>
      </c>
      <c r="E92" s="46" t="s">
        <v>2002</v>
      </c>
      <c r="F92" s="46" t="s">
        <v>33</v>
      </c>
      <c r="G92" s="50" t="s">
        <v>2003</v>
      </c>
      <c r="H92" s="80" t="s">
        <v>2014</v>
      </c>
      <c r="I92" s="60" t="s">
        <v>32</v>
      </c>
      <c r="J92" s="61"/>
      <c r="K92" s="61"/>
      <c r="L92" s="61"/>
      <c r="M92" s="61"/>
      <c r="N92" s="61"/>
      <c r="O92" s="61"/>
      <c r="P92" s="61"/>
      <c r="Q92" s="61"/>
      <c r="R92" s="61"/>
      <c r="S92" s="61"/>
      <c r="T92" s="61"/>
      <c r="U92" s="61"/>
      <c r="V92" s="61"/>
      <c r="W92" s="61"/>
      <c r="X92" s="61"/>
      <c r="Y92" s="61"/>
      <c r="Z92" s="61"/>
    </row>
    <row r="93" spans="1:26" ht="238">
      <c r="A93" s="45" t="s">
        <v>1888</v>
      </c>
      <c r="B93" s="46" t="s">
        <v>2110</v>
      </c>
      <c r="C93" s="46" t="s">
        <v>2111</v>
      </c>
      <c r="D93" s="46" t="s">
        <v>2112</v>
      </c>
      <c r="E93" s="46" t="s">
        <v>2113</v>
      </c>
      <c r="F93" s="46" t="s">
        <v>668</v>
      </c>
      <c r="G93" s="50" t="s">
        <v>2114</v>
      </c>
      <c r="H93" s="46" t="s">
        <v>2123</v>
      </c>
      <c r="I93" s="60" t="s">
        <v>32</v>
      </c>
      <c r="J93" s="52"/>
      <c r="K93" s="52"/>
      <c r="L93" s="52"/>
      <c r="M93" s="52"/>
      <c r="N93" s="52"/>
      <c r="O93" s="52"/>
      <c r="P93" s="52"/>
      <c r="Q93" s="52"/>
      <c r="R93" s="52"/>
      <c r="S93" s="52"/>
      <c r="T93" s="52"/>
      <c r="U93" s="52"/>
      <c r="V93" s="52"/>
      <c r="W93" s="52"/>
      <c r="X93" s="52"/>
      <c r="Y93" s="52"/>
      <c r="Z93" s="52"/>
    </row>
    <row r="94" spans="1:26" ht="266">
      <c r="A94" s="45" t="s">
        <v>2131</v>
      </c>
      <c r="B94" s="46" t="s">
        <v>2132</v>
      </c>
      <c r="C94" s="46" t="s">
        <v>2133</v>
      </c>
      <c r="D94" s="46" t="s">
        <v>2112</v>
      </c>
      <c r="E94" s="46" t="s">
        <v>2113</v>
      </c>
      <c r="F94" s="46" t="s">
        <v>668</v>
      </c>
      <c r="G94" s="50" t="s">
        <v>2138</v>
      </c>
      <c r="H94" s="46" t="s">
        <v>2123</v>
      </c>
      <c r="I94" s="60" t="s">
        <v>32</v>
      </c>
      <c r="J94" s="52"/>
      <c r="K94" s="52"/>
      <c r="L94" s="52"/>
      <c r="M94" s="52"/>
      <c r="N94" s="52"/>
      <c r="O94" s="52"/>
      <c r="P94" s="52"/>
      <c r="Q94" s="52"/>
      <c r="R94" s="52"/>
      <c r="S94" s="52"/>
      <c r="T94" s="52"/>
      <c r="U94" s="52"/>
      <c r="V94" s="52"/>
      <c r="W94" s="52"/>
      <c r="X94" s="52"/>
      <c r="Y94" s="52"/>
      <c r="Z94" s="52"/>
    </row>
    <row r="95" spans="1:26" ht="98">
      <c r="A95" s="45" t="s">
        <v>2150</v>
      </c>
      <c r="B95" s="98" t="s">
        <v>2151</v>
      </c>
      <c r="C95" s="98" t="s">
        <v>2155</v>
      </c>
      <c r="D95" s="46" t="s">
        <v>2157</v>
      </c>
      <c r="E95" s="46" t="s">
        <v>2159</v>
      </c>
      <c r="F95" s="46" t="s">
        <v>387</v>
      </c>
      <c r="G95" s="50" t="s">
        <v>2163</v>
      </c>
      <c r="H95" s="46" t="s">
        <v>2174</v>
      </c>
      <c r="I95" s="60" t="s">
        <v>32</v>
      </c>
      <c r="J95" s="61"/>
      <c r="K95" s="61"/>
      <c r="L95" s="61"/>
      <c r="M95" s="61"/>
      <c r="N95" s="61"/>
      <c r="O95" s="61"/>
      <c r="P95" s="61"/>
      <c r="Q95" s="61"/>
      <c r="R95" s="61"/>
      <c r="S95" s="61"/>
      <c r="T95" s="61"/>
      <c r="U95" s="61"/>
      <c r="V95" s="61"/>
      <c r="W95" s="61"/>
      <c r="X95" s="61"/>
      <c r="Y95" s="61"/>
      <c r="Z95" s="61"/>
    </row>
    <row r="96" spans="1:26" ht="28">
      <c r="A96" s="99" t="s">
        <v>2176</v>
      </c>
      <c r="B96" s="100" t="s">
        <v>2184</v>
      </c>
      <c r="C96" s="100" t="s">
        <v>2186</v>
      </c>
      <c r="D96" s="101" t="str">
        <f>HYPERLINK("https://saisoncapital.com/","Saison Capital")</f>
        <v>Saison Capital</v>
      </c>
      <c r="E96" s="100" t="s">
        <v>1229</v>
      </c>
      <c r="F96" s="100" t="s">
        <v>46</v>
      </c>
      <c r="G96" s="102" t="s">
        <v>2199</v>
      </c>
      <c r="H96" s="100" t="s">
        <v>324</v>
      </c>
      <c r="I96" s="60" t="s">
        <v>266</v>
      </c>
      <c r="J96" s="61"/>
      <c r="K96" s="61"/>
      <c r="L96" s="61"/>
      <c r="M96" s="61"/>
      <c r="N96" s="61"/>
      <c r="O96" s="61"/>
      <c r="P96" s="61"/>
      <c r="Q96" s="61"/>
      <c r="R96" s="61"/>
      <c r="S96" s="61"/>
      <c r="T96" s="61"/>
      <c r="U96" s="61"/>
      <c r="V96" s="61"/>
      <c r="W96" s="61"/>
      <c r="X96" s="61"/>
      <c r="Y96" s="61"/>
      <c r="Z96" s="61"/>
    </row>
    <row r="97" spans="1:26" ht="70">
      <c r="A97" s="103" t="s">
        <v>2211</v>
      </c>
      <c r="B97" s="46" t="s">
        <v>2217</v>
      </c>
      <c r="C97" s="46" t="s">
        <v>2219</v>
      </c>
      <c r="D97" s="46" t="s">
        <v>2222</v>
      </c>
      <c r="E97" s="46" t="s">
        <v>667</v>
      </c>
      <c r="F97" s="46" t="s">
        <v>668</v>
      </c>
      <c r="G97" s="50" t="s">
        <v>2223</v>
      </c>
      <c r="H97" s="46" t="s">
        <v>2123</v>
      </c>
      <c r="I97" s="60" t="s">
        <v>214</v>
      </c>
      <c r="J97" s="52"/>
      <c r="K97" s="52"/>
      <c r="L97" s="52"/>
      <c r="M97" s="52"/>
      <c r="N97" s="52"/>
      <c r="O97" s="52"/>
      <c r="P97" s="52"/>
      <c r="Q97" s="52"/>
      <c r="R97" s="52"/>
      <c r="S97" s="52"/>
      <c r="T97" s="52"/>
      <c r="U97" s="52"/>
      <c r="V97" s="52"/>
      <c r="W97" s="52"/>
      <c r="X97" s="52"/>
      <c r="Y97" s="52"/>
      <c r="Z97" s="52"/>
    </row>
    <row r="98" spans="1:26" ht="210">
      <c r="A98" s="103" t="s">
        <v>2237</v>
      </c>
      <c r="B98" s="46" t="s">
        <v>2238</v>
      </c>
      <c r="C98" s="46" t="s">
        <v>2239</v>
      </c>
      <c r="D98" s="46" t="s">
        <v>2222</v>
      </c>
      <c r="E98" s="46" t="s">
        <v>667</v>
      </c>
      <c r="F98" s="46" t="s">
        <v>668</v>
      </c>
      <c r="G98" s="50" t="s">
        <v>2241</v>
      </c>
      <c r="H98" s="46" t="s">
        <v>2123</v>
      </c>
      <c r="I98" s="60" t="s">
        <v>32</v>
      </c>
      <c r="J98" s="52"/>
      <c r="K98" s="52"/>
      <c r="L98" s="52"/>
      <c r="M98" s="52"/>
      <c r="N98" s="52"/>
      <c r="O98" s="52"/>
      <c r="P98" s="52"/>
      <c r="Q98" s="52"/>
      <c r="R98" s="52"/>
      <c r="S98" s="52"/>
      <c r="T98" s="52"/>
      <c r="U98" s="52"/>
      <c r="V98" s="52"/>
      <c r="W98" s="52"/>
      <c r="X98" s="52"/>
      <c r="Y98" s="52"/>
      <c r="Z98" s="52"/>
    </row>
    <row r="99" spans="1:26" ht="112">
      <c r="A99" s="103" t="s">
        <v>2262</v>
      </c>
      <c r="B99" s="94" t="s">
        <v>2263</v>
      </c>
      <c r="C99" s="46" t="s">
        <v>2264</v>
      </c>
      <c r="D99" s="46" t="s">
        <v>2222</v>
      </c>
      <c r="E99" s="46" t="s">
        <v>667</v>
      </c>
      <c r="F99" s="46" t="s">
        <v>668</v>
      </c>
      <c r="G99" s="50" t="s">
        <v>2265</v>
      </c>
      <c r="H99" s="46" t="s">
        <v>2123</v>
      </c>
      <c r="I99" s="51" t="s">
        <v>470</v>
      </c>
      <c r="J99" s="52"/>
      <c r="K99" s="52"/>
      <c r="L99" s="52"/>
      <c r="M99" s="52"/>
      <c r="N99" s="52"/>
      <c r="O99" s="52"/>
      <c r="P99" s="52"/>
      <c r="Q99" s="52"/>
      <c r="R99" s="52"/>
      <c r="S99" s="52"/>
      <c r="T99" s="52"/>
      <c r="U99" s="52"/>
      <c r="V99" s="52"/>
      <c r="W99" s="52"/>
      <c r="X99" s="52"/>
      <c r="Y99" s="52"/>
      <c r="Z99" s="52"/>
    </row>
    <row r="100" spans="1:26" ht="98">
      <c r="A100" s="104" t="s">
        <v>875</v>
      </c>
      <c r="B100" s="25" t="s">
        <v>2285</v>
      </c>
      <c r="C100" s="25" t="s">
        <v>2286</v>
      </c>
      <c r="D100" s="25" t="s">
        <v>2287</v>
      </c>
      <c r="E100" s="25" t="s">
        <v>2288</v>
      </c>
      <c r="F100" s="25" t="s">
        <v>506</v>
      </c>
      <c r="G100" s="105" t="s">
        <v>2289</v>
      </c>
      <c r="H100" s="25" t="s">
        <v>2307</v>
      </c>
      <c r="I100" s="60" t="s">
        <v>63</v>
      </c>
      <c r="J100" s="61"/>
      <c r="K100" s="61"/>
      <c r="L100" s="61"/>
      <c r="M100" s="61"/>
      <c r="N100" s="61"/>
      <c r="O100" s="61"/>
      <c r="P100" s="61"/>
      <c r="Q100" s="61"/>
      <c r="R100" s="61"/>
      <c r="S100" s="61"/>
      <c r="T100" s="61"/>
      <c r="U100" s="61"/>
      <c r="V100" s="61"/>
      <c r="W100" s="61"/>
      <c r="X100" s="61"/>
      <c r="Y100" s="61"/>
      <c r="Z100" s="61"/>
    </row>
    <row r="101" spans="1:26" ht="56">
      <c r="A101" s="104" t="s">
        <v>2312</v>
      </c>
      <c r="B101" s="25" t="s">
        <v>2314</v>
      </c>
      <c r="C101" s="25" t="s">
        <v>2315</v>
      </c>
      <c r="D101" s="25" t="s">
        <v>2287</v>
      </c>
      <c r="E101" s="25" t="s">
        <v>2288</v>
      </c>
      <c r="F101" s="25" t="s">
        <v>506</v>
      </c>
      <c r="G101" s="105" t="s">
        <v>2316</v>
      </c>
      <c r="H101" s="25" t="s">
        <v>2307</v>
      </c>
      <c r="I101" s="60" t="s">
        <v>63</v>
      </c>
      <c r="J101" s="61"/>
      <c r="K101" s="61"/>
      <c r="L101" s="61"/>
      <c r="M101" s="61"/>
      <c r="N101" s="61"/>
      <c r="O101" s="61"/>
      <c r="P101" s="61"/>
      <c r="Q101" s="61"/>
      <c r="R101" s="61"/>
      <c r="S101" s="61"/>
      <c r="T101" s="61"/>
      <c r="U101" s="61"/>
      <c r="V101" s="61"/>
      <c r="W101" s="61"/>
      <c r="X101" s="61"/>
      <c r="Y101" s="61"/>
      <c r="Z101" s="61"/>
    </row>
    <row r="102" spans="1:26" ht="70">
      <c r="A102" s="104" t="s">
        <v>1267</v>
      </c>
      <c r="B102" s="25" t="s">
        <v>2337</v>
      </c>
      <c r="C102" s="25" t="s">
        <v>2338</v>
      </c>
      <c r="D102" s="25" t="s">
        <v>2287</v>
      </c>
      <c r="E102" s="25" t="s">
        <v>2288</v>
      </c>
      <c r="F102" s="25" t="s">
        <v>506</v>
      </c>
      <c r="G102" s="105" t="s">
        <v>2339</v>
      </c>
      <c r="H102" s="25" t="s">
        <v>2307</v>
      </c>
      <c r="I102" s="60" t="s">
        <v>214</v>
      </c>
      <c r="J102" s="61"/>
      <c r="K102" s="61"/>
      <c r="L102" s="61"/>
      <c r="M102" s="61"/>
      <c r="N102" s="61"/>
      <c r="O102" s="61"/>
      <c r="P102" s="61"/>
      <c r="Q102" s="61"/>
      <c r="R102" s="61"/>
      <c r="S102" s="61"/>
      <c r="T102" s="61"/>
      <c r="U102" s="61"/>
      <c r="V102" s="61"/>
      <c r="W102" s="61"/>
      <c r="X102" s="61"/>
      <c r="Y102" s="61"/>
      <c r="Z102" s="61"/>
    </row>
    <row r="103" spans="1:26" ht="70">
      <c r="A103" s="104" t="s">
        <v>2349</v>
      </c>
      <c r="B103" s="25" t="s">
        <v>2352</v>
      </c>
      <c r="C103" s="25" t="s">
        <v>2354</v>
      </c>
      <c r="D103" s="25" t="s">
        <v>2287</v>
      </c>
      <c r="E103" s="25" t="s">
        <v>2288</v>
      </c>
      <c r="F103" s="25" t="s">
        <v>506</v>
      </c>
      <c r="G103" s="105" t="s">
        <v>2359</v>
      </c>
      <c r="H103" s="25" t="s">
        <v>2307</v>
      </c>
      <c r="I103" s="60" t="s">
        <v>32</v>
      </c>
      <c r="J103" s="61"/>
      <c r="K103" s="61"/>
      <c r="L103" s="61"/>
      <c r="M103" s="61"/>
      <c r="N103" s="61"/>
      <c r="O103" s="61"/>
      <c r="P103" s="61"/>
      <c r="Q103" s="61"/>
      <c r="R103" s="61"/>
      <c r="S103" s="61"/>
      <c r="T103" s="61"/>
      <c r="U103" s="61"/>
      <c r="V103" s="61"/>
      <c r="W103" s="61"/>
      <c r="X103" s="61"/>
      <c r="Y103" s="61"/>
      <c r="Z103" s="61"/>
    </row>
    <row r="104" spans="1:26" ht="70">
      <c r="A104" s="104" t="s">
        <v>748</v>
      </c>
      <c r="B104" s="25" t="s">
        <v>2382</v>
      </c>
      <c r="C104" s="25" t="s">
        <v>2383</v>
      </c>
      <c r="D104" s="25" t="s">
        <v>2287</v>
      </c>
      <c r="E104" s="25" t="s">
        <v>2288</v>
      </c>
      <c r="F104" s="25" t="s">
        <v>506</v>
      </c>
      <c r="G104" s="105" t="s">
        <v>2385</v>
      </c>
      <c r="H104" s="25" t="s">
        <v>2307</v>
      </c>
      <c r="I104" s="60" t="s">
        <v>161</v>
      </c>
      <c r="J104" s="61"/>
      <c r="K104" s="61"/>
      <c r="L104" s="61"/>
      <c r="M104" s="61"/>
      <c r="N104" s="61"/>
      <c r="O104" s="61"/>
      <c r="P104" s="61"/>
      <c r="Q104" s="61"/>
      <c r="R104" s="61"/>
      <c r="S104" s="61"/>
      <c r="T104" s="61"/>
      <c r="U104" s="61"/>
      <c r="V104" s="61"/>
      <c r="W104" s="61"/>
      <c r="X104" s="61"/>
      <c r="Y104" s="61"/>
      <c r="Z104" s="61"/>
    </row>
    <row r="105" spans="1:26" ht="112">
      <c r="A105" s="45" t="s">
        <v>2405</v>
      </c>
      <c r="B105" s="46" t="s">
        <v>2406</v>
      </c>
      <c r="C105" s="98" t="s">
        <v>2407</v>
      </c>
      <c r="D105" s="46" t="s">
        <v>2408</v>
      </c>
      <c r="E105" s="46" t="s">
        <v>2409</v>
      </c>
      <c r="F105" s="46" t="s">
        <v>46</v>
      </c>
      <c r="G105" s="50" t="s">
        <v>2410</v>
      </c>
      <c r="H105" s="46" t="s">
        <v>2307</v>
      </c>
      <c r="I105" s="60" t="s">
        <v>161</v>
      </c>
      <c r="J105" s="61"/>
      <c r="K105" s="61"/>
      <c r="L105" s="61"/>
      <c r="M105" s="61"/>
      <c r="N105" s="61"/>
      <c r="O105" s="61"/>
      <c r="P105" s="61"/>
      <c r="Q105" s="61"/>
      <c r="R105" s="61"/>
      <c r="S105" s="61"/>
      <c r="T105" s="61"/>
      <c r="U105" s="61"/>
      <c r="V105" s="61"/>
      <c r="W105" s="61"/>
      <c r="X105" s="61"/>
      <c r="Y105" s="61"/>
      <c r="Z105" s="61"/>
    </row>
    <row r="106" spans="1:26" ht="14">
      <c r="A106" s="46" t="s">
        <v>2424</v>
      </c>
      <c r="B106" s="46" t="s">
        <v>2425</v>
      </c>
      <c r="C106" s="46"/>
      <c r="D106" s="46" t="s">
        <v>2426</v>
      </c>
      <c r="E106" s="46" t="s">
        <v>2428</v>
      </c>
      <c r="F106" s="46" t="s">
        <v>46</v>
      </c>
      <c r="G106" s="78" t="s">
        <v>2431</v>
      </c>
      <c r="H106" s="46" t="s">
        <v>2307</v>
      </c>
      <c r="I106" s="60" t="s">
        <v>32</v>
      </c>
      <c r="J106" s="61"/>
      <c r="K106" s="61"/>
      <c r="L106" s="61"/>
      <c r="M106" s="61"/>
      <c r="N106" s="61"/>
      <c r="O106" s="61"/>
      <c r="P106" s="61"/>
      <c r="Q106" s="61"/>
      <c r="R106" s="61"/>
      <c r="S106" s="61"/>
      <c r="T106" s="61"/>
      <c r="U106" s="61"/>
      <c r="V106" s="61"/>
      <c r="W106" s="61"/>
      <c r="X106" s="61"/>
      <c r="Y106" s="61"/>
      <c r="Z106" s="61"/>
    </row>
    <row r="107" spans="1:26" ht="42">
      <c r="A107" s="82" t="s">
        <v>2437</v>
      </c>
      <c r="B107" s="82" t="s">
        <v>2438</v>
      </c>
      <c r="C107" s="25"/>
      <c r="D107" s="82" t="s">
        <v>2440</v>
      </c>
      <c r="E107" s="46" t="s">
        <v>2442</v>
      </c>
      <c r="F107" s="82" t="s">
        <v>2444</v>
      </c>
      <c r="G107" s="106" t="s">
        <v>2447</v>
      </c>
      <c r="H107" s="46" t="s">
        <v>2307</v>
      </c>
      <c r="I107" s="60" t="s">
        <v>257</v>
      </c>
      <c r="J107" s="61"/>
      <c r="K107" s="61"/>
      <c r="L107" s="61"/>
      <c r="M107" s="61"/>
      <c r="N107" s="61"/>
      <c r="O107" s="61"/>
      <c r="P107" s="61"/>
      <c r="Q107" s="61"/>
      <c r="R107" s="61"/>
      <c r="S107" s="61"/>
      <c r="T107" s="61"/>
      <c r="U107" s="61"/>
      <c r="V107" s="61"/>
      <c r="W107" s="61"/>
      <c r="X107" s="61"/>
      <c r="Y107" s="61"/>
      <c r="Z107" s="61"/>
    </row>
    <row r="108" spans="1:26" ht="28">
      <c r="A108" s="82" t="s">
        <v>2463</v>
      </c>
      <c r="B108" s="82" t="s">
        <v>2466</v>
      </c>
      <c r="C108" s="25"/>
      <c r="D108" s="82" t="s">
        <v>2467</v>
      </c>
      <c r="E108" s="46" t="s">
        <v>2442</v>
      </c>
      <c r="F108" s="82" t="s">
        <v>2468</v>
      </c>
      <c r="G108" s="106" t="s">
        <v>2469</v>
      </c>
      <c r="H108" s="46" t="s">
        <v>2307</v>
      </c>
      <c r="I108" s="60" t="s">
        <v>257</v>
      </c>
      <c r="J108" s="61"/>
      <c r="K108" s="61"/>
      <c r="L108" s="61"/>
      <c r="M108" s="61"/>
      <c r="N108" s="61"/>
      <c r="O108" s="61"/>
      <c r="P108" s="61"/>
      <c r="Q108" s="61"/>
      <c r="R108" s="61"/>
      <c r="S108" s="61"/>
      <c r="T108" s="61"/>
      <c r="U108" s="61"/>
      <c r="V108" s="61"/>
      <c r="W108" s="61"/>
      <c r="X108" s="61"/>
      <c r="Y108" s="61"/>
      <c r="Z108" s="61"/>
    </row>
    <row r="109" spans="1:26" ht="14">
      <c r="A109" s="82" t="s">
        <v>2486</v>
      </c>
      <c r="B109" s="82" t="s">
        <v>2487</v>
      </c>
      <c r="C109" s="25"/>
      <c r="D109" s="82" t="s">
        <v>2488</v>
      </c>
      <c r="E109" s="46" t="s">
        <v>2489</v>
      </c>
      <c r="F109" s="46" t="s">
        <v>46</v>
      </c>
      <c r="G109" s="106" t="s">
        <v>2490</v>
      </c>
      <c r="H109" s="46" t="s">
        <v>2307</v>
      </c>
      <c r="I109" s="60" t="s">
        <v>214</v>
      </c>
      <c r="J109" s="61"/>
      <c r="K109" s="61"/>
      <c r="L109" s="61"/>
      <c r="M109" s="61"/>
      <c r="N109" s="61"/>
      <c r="O109" s="61"/>
      <c r="P109" s="61"/>
      <c r="Q109" s="61"/>
      <c r="R109" s="61"/>
      <c r="S109" s="61"/>
      <c r="T109" s="61"/>
      <c r="U109" s="61"/>
      <c r="V109" s="61"/>
      <c r="W109" s="61"/>
      <c r="X109" s="61"/>
      <c r="Y109" s="61"/>
      <c r="Z109" s="61"/>
    </row>
    <row r="110" spans="1:26" ht="140">
      <c r="A110" s="82" t="s">
        <v>2506</v>
      </c>
      <c r="B110" s="82" t="s">
        <v>2508</v>
      </c>
      <c r="C110" s="46" t="s">
        <v>2509</v>
      </c>
      <c r="D110" s="107" t="s">
        <v>2435</v>
      </c>
      <c r="E110" s="46" t="s">
        <v>667</v>
      </c>
      <c r="F110" s="46" t="s">
        <v>506</v>
      </c>
      <c r="G110" s="106" t="s">
        <v>2513</v>
      </c>
      <c r="H110" s="46" t="s">
        <v>2307</v>
      </c>
      <c r="I110" s="69" t="s">
        <v>161</v>
      </c>
      <c r="J110" s="61"/>
      <c r="K110" s="61"/>
      <c r="L110" s="61"/>
      <c r="M110" s="61"/>
      <c r="N110" s="61"/>
      <c r="O110" s="61"/>
      <c r="P110" s="61"/>
      <c r="Q110" s="61"/>
      <c r="R110" s="61"/>
      <c r="S110" s="61"/>
      <c r="T110" s="61"/>
      <c r="U110" s="61"/>
      <c r="V110" s="61"/>
      <c r="W110" s="61"/>
      <c r="X110" s="61"/>
      <c r="Y110" s="61"/>
      <c r="Z110" s="61"/>
    </row>
    <row r="111" spans="1:26" ht="140">
      <c r="A111" s="108" t="s">
        <v>2527</v>
      </c>
      <c r="B111" s="82" t="s">
        <v>2534</v>
      </c>
      <c r="C111" s="109" t="s">
        <v>2535</v>
      </c>
      <c r="D111" s="82" t="s">
        <v>2435</v>
      </c>
      <c r="E111" s="46" t="s">
        <v>667</v>
      </c>
      <c r="F111" s="46" t="s">
        <v>33</v>
      </c>
      <c r="G111" s="106" t="s">
        <v>2542</v>
      </c>
      <c r="H111" s="46" t="s">
        <v>2307</v>
      </c>
      <c r="I111" s="60" t="s">
        <v>433</v>
      </c>
      <c r="J111" s="61"/>
      <c r="K111" s="61"/>
      <c r="L111" s="61"/>
      <c r="M111" s="61"/>
      <c r="N111" s="61"/>
      <c r="O111" s="61"/>
      <c r="P111" s="61"/>
      <c r="Q111" s="61"/>
      <c r="R111" s="61"/>
      <c r="S111" s="61"/>
      <c r="T111" s="61"/>
      <c r="U111" s="61"/>
      <c r="V111" s="61"/>
      <c r="W111" s="61"/>
      <c r="X111" s="61"/>
      <c r="Y111" s="61"/>
      <c r="Z111" s="61"/>
    </row>
    <row r="112" spans="1:26" ht="14">
      <c r="A112" s="82" t="s">
        <v>214</v>
      </c>
      <c r="B112" s="82"/>
      <c r="C112" s="82" t="s">
        <v>2557</v>
      </c>
      <c r="D112" s="82" t="s">
        <v>2558</v>
      </c>
      <c r="E112" s="46" t="s">
        <v>667</v>
      </c>
      <c r="F112" s="46" t="s">
        <v>46</v>
      </c>
      <c r="G112" s="110" t="s">
        <v>2560</v>
      </c>
      <c r="H112" s="46" t="s">
        <v>2307</v>
      </c>
      <c r="I112" s="60" t="s">
        <v>214</v>
      </c>
      <c r="J112" s="61"/>
      <c r="K112" s="61"/>
      <c r="L112" s="61"/>
      <c r="M112" s="61"/>
      <c r="N112" s="61"/>
      <c r="O112" s="61"/>
      <c r="P112" s="61"/>
      <c r="Q112" s="61"/>
      <c r="R112" s="61"/>
      <c r="S112" s="61"/>
      <c r="T112" s="61"/>
      <c r="U112" s="61"/>
      <c r="V112" s="61"/>
      <c r="W112" s="61"/>
      <c r="X112" s="61"/>
      <c r="Y112" s="61"/>
      <c r="Z112" s="61"/>
    </row>
    <row r="113" spans="1:26" ht="14">
      <c r="A113" s="82" t="s">
        <v>2573</v>
      </c>
      <c r="B113" s="82" t="s">
        <v>2575</v>
      </c>
      <c r="C113" s="25"/>
      <c r="D113" s="82" t="s">
        <v>2576</v>
      </c>
      <c r="E113" s="46" t="s">
        <v>2577</v>
      </c>
      <c r="F113" s="46" t="s">
        <v>46</v>
      </c>
      <c r="G113" s="106" t="s">
        <v>2578</v>
      </c>
      <c r="H113" s="46" t="s">
        <v>2307</v>
      </c>
      <c r="I113" s="60" t="s">
        <v>257</v>
      </c>
      <c r="J113" s="61"/>
      <c r="K113" s="61"/>
      <c r="L113" s="61"/>
      <c r="M113" s="61"/>
      <c r="N113" s="61"/>
      <c r="O113" s="61"/>
      <c r="P113" s="61"/>
      <c r="Q113" s="61"/>
      <c r="R113" s="61"/>
      <c r="S113" s="61"/>
      <c r="T113" s="61"/>
      <c r="U113" s="61"/>
      <c r="V113" s="61"/>
      <c r="W113" s="61"/>
      <c r="X113" s="61"/>
      <c r="Y113" s="61"/>
      <c r="Z113" s="61"/>
    </row>
    <row r="114" spans="1:26" ht="14">
      <c r="A114" s="82" t="s">
        <v>2589</v>
      </c>
      <c r="B114" s="82" t="s">
        <v>2590</v>
      </c>
      <c r="C114" s="25"/>
      <c r="D114" s="82" t="s">
        <v>2591</v>
      </c>
      <c r="E114" s="46" t="s">
        <v>2592</v>
      </c>
      <c r="F114" s="46" t="s">
        <v>46</v>
      </c>
      <c r="G114" s="110" t="s">
        <v>2593</v>
      </c>
      <c r="H114" s="46" t="s">
        <v>2307</v>
      </c>
      <c r="I114" s="60" t="s">
        <v>214</v>
      </c>
      <c r="J114" s="61"/>
      <c r="K114" s="61"/>
      <c r="L114" s="61"/>
      <c r="M114" s="61"/>
      <c r="N114" s="61"/>
      <c r="O114" s="61"/>
      <c r="P114" s="61"/>
      <c r="Q114" s="61"/>
      <c r="R114" s="61"/>
      <c r="S114" s="61"/>
      <c r="T114" s="61"/>
      <c r="U114" s="61"/>
      <c r="V114" s="61"/>
      <c r="W114" s="61"/>
      <c r="X114" s="61"/>
      <c r="Y114" s="61"/>
      <c r="Z114" s="61"/>
    </row>
    <row r="115" spans="1:26" ht="14">
      <c r="A115" s="82" t="s">
        <v>32</v>
      </c>
      <c r="B115" s="82" t="s">
        <v>2603</v>
      </c>
      <c r="C115" s="25"/>
      <c r="D115" s="82" t="s">
        <v>2604</v>
      </c>
      <c r="E115" s="46" t="s">
        <v>2605</v>
      </c>
      <c r="F115" s="46" t="s">
        <v>46</v>
      </c>
      <c r="G115" s="110" t="s">
        <v>2606</v>
      </c>
      <c r="H115" s="46" t="s">
        <v>2307</v>
      </c>
      <c r="I115" s="60" t="s">
        <v>32</v>
      </c>
      <c r="J115" s="61"/>
      <c r="K115" s="61"/>
      <c r="L115" s="61"/>
      <c r="M115" s="61"/>
      <c r="N115" s="61"/>
      <c r="O115" s="61"/>
      <c r="P115" s="61"/>
      <c r="Q115" s="61"/>
      <c r="R115" s="61"/>
      <c r="S115" s="61"/>
      <c r="T115" s="61"/>
      <c r="U115" s="61"/>
      <c r="V115" s="61"/>
      <c r="W115" s="61"/>
      <c r="X115" s="61"/>
      <c r="Y115" s="61"/>
      <c r="Z115" s="61"/>
    </row>
    <row r="116" spans="1:26" ht="28">
      <c r="A116" s="82" t="s">
        <v>2613</v>
      </c>
      <c r="B116" s="82" t="s">
        <v>2614</v>
      </c>
      <c r="C116" s="25"/>
      <c r="D116" s="82" t="s">
        <v>2615</v>
      </c>
      <c r="E116" s="46" t="s">
        <v>667</v>
      </c>
      <c r="F116" s="46" t="s">
        <v>2617</v>
      </c>
      <c r="G116" s="106" t="s">
        <v>2620</v>
      </c>
      <c r="H116" s="46" t="s">
        <v>2307</v>
      </c>
      <c r="I116" s="60" t="s">
        <v>257</v>
      </c>
      <c r="J116" s="61"/>
      <c r="K116" s="61"/>
      <c r="L116" s="61"/>
      <c r="M116" s="61"/>
      <c r="N116" s="61"/>
      <c r="O116" s="61"/>
      <c r="P116" s="61"/>
      <c r="Q116" s="61"/>
      <c r="R116" s="61"/>
      <c r="S116" s="61"/>
      <c r="T116" s="61"/>
      <c r="U116" s="61"/>
      <c r="V116" s="61"/>
      <c r="W116" s="61"/>
      <c r="X116" s="61"/>
      <c r="Y116" s="61"/>
      <c r="Z116" s="61"/>
    </row>
    <row r="117" spans="1:26" ht="14">
      <c r="A117" s="82" t="s">
        <v>2635</v>
      </c>
      <c r="B117" s="82" t="s">
        <v>748</v>
      </c>
      <c r="C117" s="25"/>
      <c r="D117" s="82" t="s">
        <v>2636</v>
      </c>
      <c r="E117" s="46" t="s">
        <v>2637</v>
      </c>
      <c r="F117" s="46" t="s">
        <v>46</v>
      </c>
      <c r="G117" s="110" t="s">
        <v>2638</v>
      </c>
      <c r="H117" s="46" t="s">
        <v>2307</v>
      </c>
      <c r="I117" s="60" t="s">
        <v>161</v>
      </c>
      <c r="J117" s="61"/>
      <c r="K117" s="61"/>
      <c r="L117" s="61"/>
      <c r="M117" s="61"/>
      <c r="N117" s="61"/>
      <c r="O117" s="61"/>
      <c r="P117" s="61"/>
      <c r="Q117" s="61"/>
      <c r="R117" s="61"/>
      <c r="S117" s="61"/>
      <c r="T117" s="61"/>
      <c r="U117" s="61"/>
      <c r="V117" s="61"/>
      <c r="W117" s="61"/>
      <c r="X117" s="61"/>
      <c r="Y117" s="61"/>
      <c r="Z117" s="61"/>
    </row>
    <row r="118" spans="1:26" ht="14">
      <c r="A118" s="82" t="s">
        <v>214</v>
      </c>
      <c r="B118" s="82" t="s">
        <v>2645</v>
      </c>
      <c r="C118" s="25"/>
      <c r="D118" s="82" t="s">
        <v>2646</v>
      </c>
      <c r="E118" s="46" t="s">
        <v>2648</v>
      </c>
      <c r="F118" s="46" t="s">
        <v>46</v>
      </c>
      <c r="G118" s="106" t="s">
        <v>2650</v>
      </c>
      <c r="H118" s="46" t="s">
        <v>2307</v>
      </c>
      <c r="I118" s="60" t="s">
        <v>214</v>
      </c>
      <c r="J118" s="61"/>
      <c r="K118" s="61"/>
      <c r="L118" s="61"/>
      <c r="M118" s="61"/>
      <c r="N118" s="61"/>
      <c r="O118" s="61"/>
      <c r="P118" s="61"/>
      <c r="Q118" s="61"/>
      <c r="R118" s="61"/>
      <c r="S118" s="61"/>
      <c r="T118" s="61"/>
      <c r="U118" s="61"/>
      <c r="V118" s="61"/>
      <c r="W118" s="61"/>
      <c r="X118" s="61"/>
      <c r="Y118" s="61"/>
      <c r="Z118" s="61"/>
    </row>
    <row r="119" spans="1:26" ht="14">
      <c r="A119" s="82" t="s">
        <v>214</v>
      </c>
      <c r="B119" s="82" t="s">
        <v>2666</v>
      </c>
      <c r="C119" s="25"/>
      <c r="D119" s="82" t="s">
        <v>2668</v>
      </c>
      <c r="E119" s="46" t="s">
        <v>667</v>
      </c>
      <c r="F119" s="46" t="s">
        <v>46</v>
      </c>
      <c r="G119" s="106" t="s">
        <v>2673</v>
      </c>
      <c r="H119" s="46" t="s">
        <v>2307</v>
      </c>
      <c r="I119" s="60" t="s">
        <v>214</v>
      </c>
      <c r="J119" s="61"/>
      <c r="K119" s="61"/>
      <c r="L119" s="61"/>
      <c r="M119" s="61"/>
      <c r="N119" s="61"/>
      <c r="O119" s="61"/>
      <c r="P119" s="61"/>
      <c r="Q119" s="61"/>
      <c r="R119" s="61"/>
      <c r="S119" s="61"/>
      <c r="T119" s="61"/>
      <c r="U119" s="61"/>
      <c r="V119" s="61"/>
      <c r="W119" s="61"/>
      <c r="X119" s="61"/>
      <c r="Y119" s="61"/>
      <c r="Z119" s="61"/>
    </row>
    <row r="120" spans="1:26" ht="14">
      <c r="A120" s="82" t="s">
        <v>32</v>
      </c>
      <c r="B120" s="82" t="s">
        <v>2689</v>
      </c>
      <c r="C120" s="25"/>
      <c r="D120" s="82" t="s">
        <v>2690</v>
      </c>
      <c r="E120" s="46" t="s">
        <v>2691</v>
      </c>
      <c r="F120" s="46" t="s">
        <v>46</v>
      </c>
      <c r="G120" s="110" t="s">
        <v>2692</v>
      </c>
      <c r="H120" s="46" t="s">
        <v>2307</v>
      </c>
      <c r="I120" s="60" t="s">
        <v>32</v>
      </c>
      <c r="J120" s="61"/>
      <c r="K120" s="61"/>
      <c r="L120" s="61"/>
      <c r="M120" s="61"/>
      <c r="N120" s="61"/>
      <c r="O120" s="61"/>
      <c r="P120" s="61"/>
      <c r="Q120" s="61"/>
      <c r="R120" s="61"/>
      <c r="S120" s="61"/>
      <c r="T120" s="61"/>
      <c r="U120" s="61"/>
      <c r="V120" s="61"/>
      <c r="W120" s="61"/>
      <c r="X120" s="61"/>
      <c r="Y120" s="61"/>
      <c r="Z120" s="61"/>
    </row>
    <row r="121" spans="1:26" ht="28">
      <c r="A121" s="82" t="s">
        <v>2701</v>
      </c>
      <c r="B121" s="82"/>
      <c r="C121" s="82" t="s">
        <v>2702</v>
      </c>
      <c r="D121" s="82" t="s">
        <v>2703</v>
      </c>
      <c r="E121" s="46" t="s">
        <v>2704</v>
      </c>
      <c r="F121" s="46" t="s">
        <v>46</v>
      </c>
      <c r="G121" s="110" t="s">
        <v>2705</v>
      </c>
      <c r="H121" s="46" t="s">
        <v>2307</v>
      </c>
      <c r="I121" s="60" t="s">
        <v>257</v>
      </c>
      <c r="J121" s="61"/>
      <c r="K121" s="61"/>
      <c r="L121" s="61"/>
      <c r="M121" s="61"/>
      <c r="N121" s="61"/>
      <c r="O121" s="61"/>
      <c r="P121" s="61"/>
      <c r="Q121" s="61"/>
      <c r="R121" s="61"/>
      <c r="S121" s="61"/>
      <c r="T121" s="61"/>
      <c r="U121" s="61"/>
      <c r="V121" s="61"/>
      <c r="W121" s="61"/>
      <c r="X121" s="61"/>
      <c r="Y121" s="61"/>
      <c r="Z121" s="61"/>
    </row>
    <row r="122" spans="1:26" ht="14">
      <c r="A122" s="82" t="s">
        <v>2713</v>
      </c>
      <c r="B122" s="82" t="s">
        <v>2714</v>
      </c>
      <c r="C122" s="25"/>
      <c r="D122" s="82" t="s">
        <v>2716</v>
      </c>
      <c r="E122" s="46" t="s">
        <v>2718</v>
      </c>
      <c r="F122" s="46" t="s">
        <v>46</v>
      </c>
      <c r="G122" s="110" t="s">
        <v>2719</v>
      </c>
      <c r="H122" s="46" t="s">
        <v>2307</v>
      </c>
      <c r="I122" s="60" t="s">
        <v>214</v>
      </c>
      <c r="J122" s="61"/>
      <c r="K122" s="61"/>
      <c r="L122" s="61"/>
      <c r="M122" s="61"/>
      <c r="N122" s="61"/>
      <c r="O122" s="61"/>
      <c r="P122" s="61"/>
      <c r="Q122" s="61"/>
      <c r="R122" s="61"/>
      <c r="S122" s="61"/>
      <c r="T122" s="61"/>
      <c r="U122" s="61"/>
      <c r="V122" s="61"/>
      <c r="W122" s="61"/>
      <c r="X122" s="61"/>
      <c r="Y122" s="61"/>
      <c r="Z122" s="61"/>
    </row>
    <row r="123" spans="1:26" ht="42">
      <c r="A123" s="82" t="s">
        <v>2722</v>
      </c>
      <c r="B123" s="82" t="s">
        <v>2724</v>
      </c>
      <c r="C123" s="25"/>
      <c r="D123" s="82" t="s">
        <v>2728</v>
      </c>
      <c r="E123" s="46" t="s">
        <v>2729</v>
      </c>
      <c r="F123" s="46" t="s">
        <v>2730</v>
      </c>
      <c r="G123" s="106" t="s">
        <v>2731</v>
      </c>
      <c r="H123" s="46" t="s">
        <v>2307</v>
      </c>
      <c r="I123" s="60" t="s">
        <v>257</v>
      </c>
      <c r="J123" s="61"/>
      <c r="K123" s="61"/>
      <c r="L123" s="61"/>
      <c r="M123" s="61"/>
      <c r="N123" s="61"/>
      <c r="O123" s="61"/>
      <c r="P123" s="61"/>
      <c r="Q123" s="61"/>
      <c r="R123" s="61"/>
      <c r="S123" s="61"/>
      <c r="T123" s="61"/>
      <c r="U123" s="61"/>
      <c r="V123" s="61"/>
      <c r="W123" s="61"/>
      <c r="X123" s="61"/>
      <c r="Y123" s="61"/>
      <c r="Z123" s="61"/>
    </row>
    <row r="124" spans="1:26" ht="14">
      <c r="A124" s="46" t="s">
        <v>2739</v>
      </c>
      <c r="B124" s="46" t="s">
        <v>2740</v>
      </c>
      <c r="C124" s="46" t="s">
        <v>2742</v>
      </c>
      <c r="D124" s="46" t="s">
        <v>2745</v>
      </c>
      <c r="E124" s="46" t="s">
        <v>2747</v>
      </c>
      <c r="F124" s="46" t="s">
        <v>2748</v>
      </c>
      <c r="G124" s="50" t="s">
        <v>2749</v>
      </c>
      <c r="H124" s="46" t="s">
        <v>2307</v>
      </c>
      <c r="I124" s="60" t="s">
        <v>32</v>
      </c>
      <c r="J124" s="61"/>
      <c r="K124" s="61"/>
      <c r="L124" s="61"/>
      <c r="M124" s="61"/>
      <c r="N124" s="61"/>
      <c r="O124" s="61"/>
      <c r="P124" s="61"/>
      <c r="Q124" s="61"/>
      <c r="R124" s="61"/>
      <c r="S124" s="61"/>
      <c r="T124" s="61"/>
      <c r="U124" s="61"/>
      <c r="V124" s="61"/>
      <c r="W124" s="61"/>
      <c r="X124" s="61"/>
      <c r="Y124" s="61"/>
      <c r="Z124" s="61"/>
    </row>
    <row r="125" spans="1:26" ht="409.6">
      <c r="A125" s="108" t="s">
        <v>2762</v>
      </c>
      <c r="B125" s="72" t="s">
        <v>2765</v>
      </c>
      <c r="C125" s="72" t="s">
        <v>2767</v>
      </c>
      <c r="D125" s="72" t="s">
        <v>2768</v>
      </c>
      <c r="E125" s="72" t="s">
        <v>2769</v>
      </c>
      <c r="F125" s="72" t="s">
        <v>33</v>
      </c>
      <c r="G125" s="111"/>
      <c r="H125" s="72" t="s">
        <v>2772</v>
      </c>
      <c r="I125" s="60" t="s">
        <v>32</v>
      </c>
      <c r="J125" s="61"/>
      <c r="K125" s="61"/>
      <c r="L125" s="61"/>
      <c r="M125" s="61"/>
      <c r="N125" s="61"/>
      <c r="O125" s="61"/>
      <c r="P125" s="61"/>
      <c r="Q125" s="61"/>
      <c r="R125" s="61"/>
      <c r="S125" s="61"/>
      <c r="T125" s="61"/>
      <c r="U125" s="61"/>
      <c r="V125" s="61"/>
      <c r="W125" s="61"/>
      <c r="X125" s="61"/>
      <c r="Y125" s="61"/>
      <c r="Z125" s="61"/>
    </row>
    <row r="126" spans="1:26" ht="409.6">
      <c r="A126" s="72" t="s">
        <v>2777</v>
      </c>
      <c r="B126" s="72" t="s">
        <v>2779</v>
      </c>
      <c r="C126" s="72" t="s">
        <v>2781</v>
      </c>
      <c r="D126" s="72" t="s">
        <v>2782</v>
      </c>
      <c r="E126" s="46" t="s">
        <v>667</v>
      </c>
      <c r="F126" s="46" t="s">
        <v>46</v>
      </c>
      <c r="G126" s="112" t="s">
        <v>2785</v>
      </c>
      <c r="H126" s="72" t="s">
        <v>2795</v>
      </c>
      <c r="I126" s="60" t="s">
        <v>32</v>
      </c>
      <c r="J126" s="61"/>
      <c r="K126" s="61"/>
      <c r="L126" s="61"/>
      <c r="M126" s="61"/>
      <c r="N126" s="61"/>
      <c r="O126" s="61"/>
      <c r="P126" s="61"/>
      <c r="Q126" s="61"/>
      <c r="R126" s="61"/>
      <c r="S126" s="61"/>
      <c r="T126" s="61"/>
      <c r="U126" s="61"/>
      <c r="V126" s="61"/>
      <c r="W126" s="61"/>
      <c r="X126" s="61"/>
      <c r="Y126" s="61"/>
      <c r="Z126" s="61"/>
    </row>
    <row r="127" spans="1:26" ht="98">
      <c r="A127" s="113" t="s">
        <v>2800</v>
      </c>
      <c r="B127" s="72" t="s">
        <v>2810</v>
      </c>
      <c r="C127" s="72" t="s">
        <v>2813</v>
      </c>
      <c r="D127" s="72" t="s">
        <v>2576</v>
      </c>
      <c r="E127" s="72" t="s">
        <v>2817</v>
      </c>
      <c r="F127" s="72" t="s">
        <v>46</v>
      </c>
      <c r="G127" s="112" t="s">
        <v>2819</v>
      </c>
      <c r="H127" s="72" t="s">
        <v>2827</v>
      </c>
      <c r="I127" s="60" t="s">
        <v>161</v>
      </c>
      <c r="J127" s="61"/>
      <c r="K127" s="61"/>
      <c r="L127" s="61"/>
      <c r="M127" s="61"/>
      <c r="N127" s="61"/>
      <c r="O127" s="61"/>
      <c r="P127" s="61"/>
      <c r="Q127" s="61"/>
      <c r="R127" s="61"/>
      <c r="S127" s="61"/>
      <c r="T127" s="61"/>
      <c r="U127" s="61"/>
      <c r="V127" s="61"/>
      <c r="W127" s="61"/>
      <c r="X127" s="61"/>
      <c r="Y127" s="61"/>
      <c r="Z127" s="61"/>
    </row>
    <row r="128" spans="1:26" ht="70">
      <c r="A128" s="113" t="s">
        <v>2835</v>
      </c>
      <c r="B128" s="72" t="s">
        <v>2838</v>
      </c>
      <c r="C128" s="72" t="s">
        <v>2839</v>
      </c>
      <c r="D128" s="72" t="s">
        <v>2576</v>
      </c>
      <c r="E128" s="72" t="s">
        <v>2817</v>
      </c>
      <c r="F128" s="72" t="s">
        <v>46</v>
      </c>
      <c r="G128" s="112" t="s">
        <v>2840</v>
      </c>
      <c r="H128" s="72" t="s">
        <v>2827</v>
      </c>
      <c r="I128" s="60" t="s">
        <v>161</v>
      </c>
      <c r="J128" s="61"/>
      <c r="K128" s="61"/>
      <c r="L128" s="61"/>
      <c r="M128" s="61"/>
      <c r="N128" s="61"/>
      <c r="O128" s="61"/>
      <c r="P128" s="61"/>
      <c r="Q128" s="61"/>
      <c r="R128" s="61"/>
      <c r="S128" s="61"/>
      <c r="T128" s="61"/>
      <c r="U128" s="61"/>
      <c r="V128" s="61"/>
      <c r="W128" s="61"/>
      <c r="X128" s="61"/>
      <c r="Y128" s="61"/>
      <c r="Z128" s="61"/>
    </row>
    <row r="129" spans="1:26" ht="70">
      <c r="A129" s="113" t="s">
        <v>2856</v>
      </c>
      <c r="B129" s="72" t="s">
        <v>2857</v>
      </c>
      <c r="C129" s="72" t="s">
        <v>2859</v>
      </c>
      <c r="D129" s="72" t="s">
        <v>2576</v>
      </c>
      <c r="E129" s="72" t="s">
        <v>2817</v>
      </c>
      <c r="F129" s="72" t="s">
        <v>46</v>
      </c>
      <c r="G129" s="112" t="s">
        <v>2863</v>
      </c>
      <c r="H129" s="72" t="s">
        <v>2827</v>
      </c>
      <c r="I129" s="60" t="s">
        <v>161</v>
      </c>
      <c r="J129" s="61"/>
      <c r="K129" s="61"/>
      <c r="L129" s="61"/>
      <c r="M129" s="61"/>
      <c r="N129" s="61"/>
      <c r="O129" s="61"/>
      <c r="P129" s="61"/>
      <c r="Q129" s="61"/>
      <c r="R129" s="61"/>
      <c r="S129" s="61"/>
      <c r="T129" s="61"/>
      <c r="U129" s="61"/>
      <c r="V129" s="61"/>
      <c r="W129" s="61"/>
      <c r="X129" s="61"/>
      <c r="Y129" s="61"/>
      <c r="Z129" s="61"/>
    </row>
    <row r="130" spans="1:26" ht="84">
      <c r="A130" s="113" t="s">
        <v>2876</v>
      </c>
      <c r="B130" s="72" t="s">
        <v>2877</v>
      </c>
      <c r="C130" s="72" t="s">
        <v>2881</v>
      </c>
      <c r="D130" s="72" t="s">
        <v>2576</v>
      </c>
      <c r="E130" s="72" t="s">
        <v>2817</v>
      </c>
      <c r="F130" s="72" t="s">
        <v>46</v>
      </c>
      <c r="G130" s="112" t="s">
        <v>2885</v>
      </c>
      <c r="H130" s="72" t="s">
        <v>2827</v>
      </c>
      <c r="I130" s="69" t="s">
        <v>161</v>
      </c>
      <c r="J130" s="61"/>
      <c r="K130" s="61"/>
      <c r="L130" s="61"/>
      <c r="M130" s="61"/>
      <c r="N130" s="61"/>
      <c r="O130" s="61"/>
      <c r="P130" s="61"/>
      <c r="Q130" s="61"/>
      <c r="R130" s="61"/>
      <c r="S130" s="61"/>
      <c r="T130" s="61"/>
      <c r="U130" s="61"/>
      <c r="V130" s="61"/>
      <c r="W130" s="61"/>
      <c r="X130" s="61"/>
      <c r="Y130" s="61"/>
      <c r="Z130" s="61"/>
    </row>
    <row r="131" spans="1:26" ht="196">
      <c r="A131" s="113" t="s">
        <v>560</v>
      </c>
      <c r="B131" s="72" t="s">
        <v>2904</v>
      </c>
      <c r="C131" s="72" t="s">
        <v>2906</v>
      </c>
      <c r="D131" s="72" t="s">
        <v>2576</v>
      </c>
      <c r="E131" s="72" t="s">
        <v>2817</v>
      </c>
      <c r="F131" s="72" t="s">
        <v>46</v>
      </c>
      <c r="G131" s="112" t="s">
        <v>2908</v>
      </c>
      <c r="H131" s="72" t="s">
        <v>2919</v>
      </c>
      <c r="I131" s="60" t="s">
        <v>214</v>
      </c>
      <c r="J131" s="61"/>
      <c r="K131" s="61"/>
      <c r="L131" s="61"/>
      <c r="M131" s="61"/>
      <c r="N131" s="61"/>
      <c r="O131" s="61"/>
      <c r="P131" s="61"/>
      <c r="Q131" s="61"/>
      <c r="R131" s="61"/>
      <c r="S131" s="61"/>
      <c r="T131" s="61"/>
      <c r="U131" s="61"/>
      <c r="V131" s="61"/>
      <c r="W131" s="61"/>
      <c r="X131" s="61"/>
      <c r="Y131" s="61"/>
      <c r="Z131" s="61"/>
    </row>
    <row r="132" spans="1:26" ht="210">
      <c r="A132" s="113" t="s">
        <v>2923</v>
      </c>
      <c r="B132" s="72" t="s">
        <v>2927</v>
      </c>
      <c r="C132" s="72" t="s">
        <v>2928</v>
      </c>
      <c r="D132" s="72" t="s">
        <v>2576</v>
      </c>
      <c r="E132" s="72" t="s">
        <v>2817</v>
      </c>
      <c r="F132" s="72" t="s">
        <v>46</v>
      </c>
      <c r="G132" s="112" t="s">
        <v>2931</v>
      </c>
      <c r="H132" s="72" t="s">
        <v>2919</v>
      </c>
      <c r="I132" s="60" t="s">
        <v>63</v>
      </c>
      <c r="J132" s="61"/>
      <c r="K132" s="61"/>
      <c r="L132" s="61"/>
      <c r="M132" s="61"/>
      <c r="N132" s="61"/>
      <c r="O132" s="61"/>
      <c r="P132" s="61"/>
      <c r="Q132" s="61"/>
      <c r="R132" s="61"/>
      <c r="S132" s="61"/>
      <c r="T132" s="61"/>
      <c r="U132" s="61"/>
      <c r="V132" s="61"/>
      <c r="W132" s="61"/>
      <c r="X132" s="61"/>
      <c r="Y132" s="61"/>
      <c r="Z132" s="61"/>
    </row>
    <row r="133" spans="1:26" ht="238">
      <c r="A133" s="72" t="s">
        <v>2946</v>
      </c>
      <c r="B133" s="72" t="s">
        <v>2947</v>
      </c>
      <c r="C133" s="72" t="s">
        <v>2948</v>
      </c>
      <c r="D133" s="72" t="s">
        <v>2949</v>
      </c>
      <c r="E133" s="72" t="s">
        <v>667</v>
      </c>
      <c r="F133" s="72" t="s">
        <v>46</v>
      </c>
      <c r="G133" s="112" t="s">
        <v>2950</v>
      </c>
      <c r="H133" s="72" t="s">
        <v>2956</v>
      </c>
      <c r="I133" s="60" t="s">
        <v>32</v>
      </c>
      <c r="J133" s="61"/>
      <c r="K133" s="61"/>
      <c r="L133" s="61"/>
      <c r="M133" s="61"/>
      <c r="N133" s="61"/>
      <c r="O133" s="61"/>
      <c r="P133" s="61"/>
      <c r="Q133" s="61"/>
      <c r="R133" s="61"/>
      <c r="S133" s="61"/>
      <c r="T133" s="61"/>
      <c r="U133" s="61"/>
      <c r="V133" s="61"/>
      <c r="W133" s="61"/>
      <c r="X133" s="61"/>
      <c r="Y133" s="61"/>
      <c r="Z133" s="61"/>
    </row>
    <row r="134" spans="1:26" ht="280">
      <c r="A134" s="72" t="s">
        <v>2961</v>
      </c>
      <c r="B134" s="72" t="s">
        <v>2964</v>
      </c>
      <c r="C134" s="72" t="s">
        <v>2966</v>
      </c>
      <c r="D134" s="72" t="s">
        <v>2949</v>
      </c>
      <c r="E134" s="72" t="s">
        <v>667</v>
      </c>
      <c r="F134" s="72" t="s">
        <v>46</v>
      </c>
      <c r="G134" s="112" t="s">
        <v>2950</v>
      </c>
      <c r="H134" s="72" t="s">
        <v>2956</v>
      </c>
      <c r="I134" s="60" t="s">
        <v>32</v>
      </c>
      <c r="J134" s="61"/>
      <c r="K134" s="61"/>
      <c r="L134" s="61"/>
      <c r="M134" s="61"/>
      <c r="N134" s="61"/>
      <c r="O134" s="61"/>
      <c r="P134" s="61"/>
      <c r="Q134" s="61"/>
      <c r="R134" s="61"/>
      <c r="S134" s="61"/>
      <c r="T134" s="61"/>
      <c r="U134" s="61"/>
      <c r="V134" s="61"/>
      <c r="W134" s="61"/>
      <c r="X134" s="61"/>
      <c r="Y134" s="61"/>
      <c r="Z134" s="61"/>
    </row>
    <row r="135" spans="1:26" ht="352.5" customHeight="1">
      <c r="A135" s="114" t="s">
        <v>354</v>
      </c>
      <c r="B135" s="115" t="s">
        <v>2983</v>
      </c>
      <c r="C135" s="115" t="s">
        <v>2989</v>
      </c>
      <c r="D135" s="115" t="s">
        <v>2990</v>
      </c>
      <c r="E135" s="114" t="s">
        <v>2991</v>
      </c>
      <c r="F135" s="115" t="s">
        <v>46</v>
      </c>
      <c r="G135" s="116"/>
      <c r="H135" s="115" t="s">
        <v>2995</v>
      </c>
      <c r="I135" s="117" t="s">
        <v>161</v>
      </c>
      <c r="J135" s="118"/>
      <c r="K135" s="118"/>
      <c r="L135" s="118"/>
      <c r="M135" s="118"/>
      <c r="N135" s="118"/>
      <c r="O135" s="118"/>
      <c r="P135" s="118"/>
      <c r="Q135" s="118"/>
      <c r="R135" s="118"/>
      <c r="S135" s="118"/>
      <c r="T135" s="118"/>
      <c r="U135" s="118"/>
      <c r="V135" s="118"/>
      <c r="W135" s="118"/>
      <c r="X135" s="118"/>
      <c r="Y135" s="118"/>
      <c r="Z135" s="118"/>
    </row>
    <row r="136" spans="1:26" ht="140">
      <c r="A136" s="113" t="s">
        <v>3008</v>
      </c>
      <c r="B136" s="72" t="s">
        <v>3009</v>
      </c>
      <c r="C136" s="72" t="s">
        <v>3010</v>
      </c>
      <c r="D136" s="113" t="s">
        <v>3011</v>
      </c>
      <c r="E136" s="113" t="s">
        <v>1229</v>
      </c>
      <c r="F136" s="72" t="s">
        <v>33</v>
      </c>
      <c r="G136" s="119" t="s">
        <v>1420</v>
      </c>
      <c r="H136" s="72" t="s">
        <v>3020</v>
      </c>
      <c r="I136" s="60" t="s">
        <v>266</v>
      </c>
      <c r="J136" s="61"/>
      <c r="K136" s="61"/>
      <c r="L136" s="61"/>
      <c r="M136" s="61"/>
      <c r="N136" s="61"/>
      <c r="O136" s="61"/>
      <c r="P136" s="61"/>
      <c r="Q136" s="61"/>
      <c r="R136" s="61"/>
      <c r="S136" s="61"/>
      <c r="T136" s="61"/>
      <c r="U136" s="61"/>
      <c r="V136" s="61"/>
      <c r="W136" s="61"/>
      <c r="X136" s="61"/>
      <c r="Y136" s="61"/>
      <c r="Z136" s="61"/>
    </row>
    <row r="137" spans="1:26" ht="84">
      <c r="A137" s="113" t="s">
        <v>3023</v>
      </c>
      <c r="B137" s="72" t="s">
        <v>3024</v>
      </c>
      <c r="C137" s="72" t="s">
        <v>3026</v>
      </c>
      <c r="D137" s="113" t="s">
        <v>3011</v>
      </c>
      <c r="E137" s="113" t="s">
        <v>1229</v>
      </c>
      <c r="F137" s="72" t="s">
        <v>33</v>
      </c>
      <c r="G137" s="119" t="s">
        <v>1420</v>
      </c>
      <c r="H137" s="72" t="s">
        <v>3020</v>
      </c>
      <c r="I137" s="60" t="s">
        <v>433</v>
      </c>
      <c r="J137" s="61"/>
      <c r="K137" s="61"/>
      <c r="L137" s="61"/>
      <c r="M137" s="61"/>
      <c r="N137" s="61"/>
      <c r="O137" s="61"/>
      <c r="P137" s="61"/>
      <c r="Q137" s="61"/>
      <c r="R137" s="61"/>
      <c r="S137" s="61"/>
      <c r="T137" s="61"/>
      <c r="U137" s="61"/>
      <c r="V137" s="61"/>
      <c r="W137" s="61"/>
      <c r="X137" s="61"/>
      <c r="Y137" s="61"/>
      <c r="Z137" s="61"/>
    </row>
    <row r="138" spans="1:26" ht="84">
      <c r="A138" s="113" t="s">
        <v>3034</v>
      </c>
      <c r="B138" s="72" t="s">
        <v>3036</v>
      </c>
      <c r="C138" s="72" t="s">
        <v>3039</v>
      </c>
      <c r="D138" s="113" t="s">
        <v>3011</v>
      </c>
      <c r="E138" s="113" t="s">
        <v>1229</v>
      </c>
      <c r="F138" s="72" t="s">
        <v>33</v>
      </c>
      <c r="G138" s="119" t="s">
        <v>1420</v>
      </c>
      <c r="H138" s="72" t="s">
        <v>3020</v>
      </c>
      <c r="I138" s="60" t="s">
        <v>266</v>
      </c>
      <c r="J138" s="61"/>
      <c r="K138" s="61"/>
      <c r="L138" s="61"/>
      <c r="M138" s="61"/>
      <c r="N138" s="61"/>
      <c r="O138" s="61"/>
      <c r="P138" s="61"/>
      <c r="Q138" s="61"/>
      <c r="R138" s="61"/>
      <c r="S138" s="61"/>
      <c r="T138" s="61"/>
      <c r="U138" s="61"/>
      <c r="V138" s="61"/>
      <c r="W138" s="61"/>
      <c r="X138" s="61"/>
      <c r="Y138" s="61"/>
      <c r="Z138" s="61"/>
    </row>
    <row r="139" spans="1:26" ht="154">
      <c r="A139" s="113" t="s">
        <v>211</v>
      </c>
      <c r="B139" s="113" t="s">
        <v>3052</v>
      </c>
      <c r="C139" s="113" t="s">
        <v>3054</v>
      </c>
      <c r="D139" s="113" t="s">
        <v>3055</v>
      </c>
      <c r="E139" s="113" t="s">
        <v>3056</v>
      </c>
      <c r="F139" s="113" t="s">
        <v>3057</v>
      </c>
      <c r="G139" s="120" t="s">
        <v>3058</v>
      </c>
      <c r="H139" s="113" t="s">
        <v>3067</v>
      </c>
      <c r="I139" s="60" t="s">
        <v>470</v>
      </c>
      <c r="J139" s="61"/>
      <c r="K139" s="61"/>
      <c r="L139" s="61"/>
      <c r="M139" s="61"/>
      <c r="N139" s="61"/>
      <c r="O139" s="61"/>
      <c r="P139" s="61"/>
      <c r="Q139" s="61"/>
      <c r="R139" s="61"/>
      <c r="S139" s="61"/>
      <c r="T139" s="61"/>
      <c r="U139" s="61"/>
      <c r="V139" s="61"/>
      <c r="W139" s="61"/>
      <c r="X139" s="61"/>
      <c r="Y139" s="61"/>
      <c r="Z139" s="61"/>
    </row>
    <row r="140" spans="1:26" ht="154">
      <c r="A140" s="113" t="s">
        <v>3073</v>
      </c>
      <c r="B140" s="113" t="s">
        <v>3075</v>
      </c>
      <c r="C140" s="113" t="s">
        <v>3076</v>
      </c>
      <c r="D140" s="113" t="s">
        <v>3055</v>
      </c>
      <c r="E140" s="113" t="s">
        <v>3056</v>
      </c>
      <c r="F140" s="113" t="s">
        <v>3057</v>
      </c>
      <c r="G140" s="120" t="s">
        <v>3058</v>
      </c>
      <c r="H140" s="113" t="s">
        <v>3067</v>
      </c>
      <c r="I140" s="60" t="s">
        <v>32</v>
      </c>
      <c r="J140" s="61"/>
      <c r="K140" s="61"/>
      <c r="L140" s="61"/>
      <c r="M140" s="61"/>
      <c r="N140" s="61"/>
      <c r="O140" s="61"/>
      <c r="P140" s="61"/>
      <c r="Q140" s="61"/>
      <c r="R140" s="61"/>
      <c r="S140" s="61"/>
      <c r="T140" s="61"/>
      <c r="U140" s="61"/>
      <c r="V140" s="61"/>
      <c r="W140" s="61"/>
      <c r="X140" s="61"/>
      <c r="Y140" s="61"/>
      <c r="Z140" s="61"/>
    </row>
    <row r="141" spans="1:26" ht="140">
      <c r="A141" s="113" t="s">
        <v>3088</v>
      </c>
      <c r="B141" s="72" t="s">
        <v>3089</v>
      </c>
      <c r="C141" s="72" t="s">
        <v>3090</v>
      </c>
      <c r="D141" s="121" t="s">
        <v>3091</v>
      </c>
      <c r="E141" s="72" t="s">
        <v>3092</v>
      </c>
      <c r="F141" s="72" t="s">
        <v>46</v>
      </c>
      <c r="G141" s="122" t="str">
        <f>HYPERLINK("https://www.techinasia.com/jobs/e6d227a5-b31e-46a3-89a0-c5a1ebc75519?utm_source=tia-jobpost&amp;utm_medium=referral&amp;utm_campaign=sharelink","Job Post")</f>
        <v>Job Post</v>
      </c>
      <c r="H141" s="72" t="s">
        <v>3104</v>
      </c>
      <c r="I141" s="60" t="s">
        <v>32</v>
      </c>
      <c r="J141" s="61"/>
      <c r="K141" s="61"/>
      <c r="L141" s="61"/>
      <c r="M141" s="61"/>
      <c r="N141" s="61"/>
      <c r="O141" s="61"/>
      <c r="P141" s="61"/>
      <c r="Q141" s="61"/>
      <c r="R141" s="61"/>
      <c r="S141" s="61"/>
      <c r="T141" s="61"/>
      <c r="U141" s="61"/>
      <c r="V141" s="61"/>
      <c r="W141" s="61"/>
      <c r="X141" s="61"/>
      <c r="Y141" s="61"/>
      <c r="Z141" s="61"/>
    </row>
    <row r="142" spans="1:26" ht="182">
      <c r="A142" s="113" t="s">
        <v>3109</v>
      </c>
      <c r="B142" s="72" t="s">
        <v>3111</v>
      </c>
      <c r="C142" s="72" t="s">
        <v>3112</v>
      </c>
      <c r="D142" s="121" t="s">
        <v>3091</v>
      </c>
      <c r="E142" s="72" t="s">
        <v>3092</v>
      </c>
      <c r="F142" s="72" t="s">
        <v>46</v>
      </c>
      <c r="G142" s="122" t="str">
        <f>HYPERLINK("https://www.techinasia.com/jobs/00a54dd4-332c-41f2-af84-a3c9d87d60d0?utm_source=tia-jobpost&amp;utm_medium=referral&amp;utm_campaign=sharelink","Job Post")</f>
        <v>Job Post</v>
      </c>
      <c r="H142" s="72" t="s">
        <v>3104</v>
      </c>
      <c r="I142" s="60" t="s">
        <v>296</v>
      </c>
      <c r="J142" s="61"/>
      <c r="K142" s="61"/>
      <c r="L142" s="61"/>
      <c r="M142" s="61"/>
      <c r="N142" s="61"/>
      <c r="O142" s="61"/>
      <c r="P142" s="61"/>
      <c r="Q142" s="61"/>
      <c r="R142" s="61"/>
      <c r="S142" s="61"/>
      <c r="T142" s="61"/>
      <c r="U142" s="61"/>
      <c r="V142" s="61"/>
      <c r="W142" s="61"/>
      <c r="X142" s="61"/>
      <c r="Y142" s="61"/>
      <c r="Z142" s="61"/>
    </row>
    <row r="143" spans="1:26" ht="266">
      <c r="A143" s="113" t="s">
        <v>3125</v>
      </c>
      <c r="B143" s="72" t="s">
        <v>3130</v>
      </c>
      <c r="C143" s="72" t="s">
        <v>3132</v>
      </c>
      <c r="D143" s="121" t="s">
        <v>3091</v>
      </c>
      <c r="E143" s="72" t="s">
        <v>3092</v>
      </c>
      <c r="F143" s="72" t="s">
        <v>46</v>
      </c>
      <c r="G143" s="122" t="str">
        <f>HYPERLINK("https://www.techinasia.com/jobs/2b740f99-6787-47e5-a03e-836f66405ba4?utm_source=tia-jobpost&amp;utm_medium=referral&amp;utm_campaign=sharelink","Job Post")</f>
        <v>Job Post</v>
      </c>
      <c r="H143" s="72" t="s">
        <v>3104</v>
      </c>
      <c r="I143" s="60" t="s">
        <v>32</v>
      </c>
      <c r="J143" s="61"/>
      <c r="K143" s="61"/>
      <c r="L143" s="61"/>
      <c r="M143" s="61"/>
      <c r="N143" s="61"/>
      <c r="O143" s="61"/>
      <c r="P143" s="61"/>
      <c r="Q143" s="61"/>
      <c r="R143" s="61"/>
      <c r="S143" s="61"/>
      <c r="T143" s="61"/>
      <c r="U143" s="61"/>
      <c r="V143" s="61"/>
      <c r="W143" s="61"/>
      <c r="X143" s="61"/>
      <c r="Y143" s="61"/>
      <c r="Z143" s="61"/>
    </row>
    <row r="144" spans="1:26" ht="293">
      <c r="A144" s="72" t="s">
        <v>3142</v>
      </c>
      <c r="B144" s="72" t="s">
        <v>3144</v>
      </c>
      <c r="C144" s="72" t="s">
        <v>3147</v>
      </c>
      <c r="D144" s="72" t="s">
        <v>3149</v>
      </c>
      <c r="E144" s="72" t="s">
        <v>3151</v>
      </c>
      <c r="F144" s="72" t="s">
        <v>46</v>
      </c>
      <c r="G144" s="112" t="s">
        <v>3153</v>
      </c>
      <c r="H144" s="72" t="s">
        <v>3161</v>
      </c>
      <c r="I144" s="60" t="s">
        <v>32</v>
      </c>
      <c r="J144" s="61"/>
      <c r="K144" s="61"/>
      <c r="L144" s="61"/>
      <c r="M144" s="61"/>
      <c r="N144" s="61"/>
      <c r="O144" s="61"/>
      <c r="P144" s="61"/>
      <c r="Q144" s="61"/>
      <c r="R144" s="61"/>
      <c r="S144" s="61"/>
      <c r="T144" s="61"/>
      <c r="U144" s="61"/>
      <c r="V144" s="61"/>
      <c r="W144" s="61"/>
      <c r="X144" s="61"/>
      <c r="Y144" s="61"/>
      <c r="Z144" s="61"/>
    </row>
    <row r="145" spans="1:26" ht="409.6">
      <c r="A145" s="115" t="s">
        <v>2936</v>
      </c>
      <c r="B145" s="115" t="s">
        <v>3168</v>
      </c>
      <c r="C145" s="115" t="s">
        <v>3169</v>
      </c>
      <c r="D145" s="115" t="s">
        <v>3170</v>
      </c>
      <c r="E145" s="115" t="s">
        <v>3172</v>
      </c>
      <c r="F145" s="115" t="s">
        <v>46</v>
      </c>
      <c r="G145" s="123" t="s">
        <v>3173</v>
      </c>
      <c r="H145" s="115" t="s">
        <v>3187</v>
      </c>
      <c r="I145" s="60" t="s">
        <v>214</v>
      </c>
      <c r="J145" s="124"/>
      <c r="K145" s="124"/>
      <c r="L145" s="124"/>
      <c r="M145" s="124"/>
      <c r="N145" s="124"/>
      <c r="O145" s="124"/>
      <c r="P145" s="124"/>
      <c r="Q145" s="124"/>
      <c r="R145" s="124"/>
      <c r="S145" s="124"/>
      <c r="T145" s="124"/>
      <c r="U145" s="124"/>
      <c r="V145" s="124"/>
      <c r="W145" s="124"/>
      <c r="X145" s="124"/>
      <c r="Y145" s="124"/>
      <c r="Z145" s="124"/>
    </row>
    <row r="146" spans="1:26" ht="98">
      <c r="A146" s="113" t="s">
        <v>3193</v>
      </c>
      <c r="B146" s="72" t="s">
        <v>3195</v>
      </c>
      <c r="C146" s="72" t="s">
        <v>3197</v>
      </c>
      <c r="D146" s="72" t="s">
        <v>3199</v>
      </c>
      <c r="E146" s="72" t="s">
        <v>3200</v>
      </c>
      <c r="F146" s="72" t="s">
        <v>33</v>
      </c>
      <c r="G146" s="119" t="s">
        <v>3203</v>
      </c>
      <c r="H146" s="72" t="s">
        <v>3206</v>
      </c>
      <c r="I146" s="60" t="s">
        <v>296</v>
      </c>
      <c r="J146" s="61"/>
      <c r="K146" s="61"/>
      <c r="L146" s="61"/>
      <c r="M146" s="61"/>
      <c r="N146" s="61"/>
      <c r="O146" s="61"/>
      <c r="P146" s="61"/>
      <c r="Q146" s="61"/>
      <c r="R146" s="61"/>
      <c r="S146" s="61"/>
      <c r="T146" s="61"/>
      <c r="U146" s="61"/>
      <c r="V146" s="61"/>
      <c r="W146" s="61"/>
      <c r="X146" s="61"/>
      <c r="Y146" s="61"/>
      <c r="Z146" s="61"/>
    </row>
    <row r="147" spans="1:26" ht="409.6">
      <c r="A147" s="115" t="s">
        <v>3211</v>
      </c>
      <c r="B147" s="115" t="s">
        <v>3215</v>
      </c>
      <c r="C147" s="115" t="s">
        <v>3217</v>
      </c>
      <c r="D147" s="115" t="s">
        <v>3170</v>
      </c>
      <c r="E147" s="115" t="s">
        <v>3172</v>
      </c>
      <c r="F147" s="115" t="s">
        <v>46</v>
      </c>
      <c r="G147" s="123" t="s">
        <v>3220</v>
      </c>
      <c r="H147" s="115" t="s">
        <v>3231</v>
      </c>
      <c r="I147" s="115" t="s">
        <v>326</v>
      </c>
      <c r="J147" s="124"/>
      <c r="K147" s="124"/>
      <c r="L147" s="124"/>
      <c r="M147" s="124"/>
      <c r="N147" s="124"/>
      <c r="O147" s="124"/>
      <c r="P147" s="124"/>
      <c r="Q147" s="124"/>
      <c r="R147" s="124"/>
      <c r="S147" s="124"/>
      <c r="T147" s="124"/>
      <c r="U147" s="124"/>
      <c r="V147" s="124"/>
      <c r="W147" s="124"/>
      <c r="X147" s="124"/>
      <c r="Y147" s="124"/>
      <c r="Z147" s="124"/>
    </row>
    <row r="148" spans="1:26" ht="384">
      <c r="A148" s="115" t="s">
        <v>3240</v>
      </c>
      <c r="B148" s="115" t="s">
        <v>3241</v>
      </c>
      <c r="C148" s="115" t="s">
        <v>3242</v>
      </c>
      <c r="D148" s="115" t="s">
        <v>3170</v>
      </c>
      <c r="E148" s="115" t="s">
        <v>3172</v>
      </c>
      <c r="F148" s="115" t="s">
        <v>46</v>
      </c>
      <c r="G148" s="123" t="s">
        <v>3243</v>
      </c>
      <c r="H148" s="115" t="s">
        <v>3231</v>
      </c>
      <c r="I148" s="115" t="s">
        <v>63</v>
      </c>
      <c r="J148" s="124"/>
      <c r="K148" s="124"/>
      <c r="L148" s="124"/>
      <c r="M148" s="124"/>
      <c r="N148" s="124"/>
      <c r="O148" s="124"/>
      <c r="P148" s="124"/>
      <c r="Q148" s="124"/>
      <c r="R148" s="124"/>
      <c r="S148" s="124"/>
      <c r="T148" s="124"/>
      <c r="U148" s="124"/>
      <c r="V148" s="124"/>
      <c r="W148" s="124"/>
      <c r="X148" s="124"/>
      <c r="Y148" s="124"/>
      <c r="Z148" s="124"/>
    </row>
    <row r="149" spans="1:26" ht="140">
      <c r="A149" s="125" t="s">
        <v>3257</v>
      </c>
      <c r="B149" s="115" t="s">
        <v>3265</v>
      </c>
      <c r="C149" s="115" t="s">
        <v>3266</v>
      </c>
      <c r="D149" s="125" t="s">
        <v>2435</v>
      </c>
      <c r="E149" s="115" t="s">
        <v>3267</v>
      </c>
      <c r="F149" s="115" t="s">
        <v>46</v>
      </c>
      <c r="G149" s="123" t="s">
        <v>3268</v>
      </c>
      <c r="H149" s="115" t="s">
        <v>3280</v>
      </c>
      <c r="I149" s="60" t="s">
        <v>32</v>
      </c>
      <c r="J149" s="124"/>
      <c r="K149" s="124"/>
      <c r="L149" s="124"/>
      <c r="M149" s="124"/>
      <c r="N149" s="124"/>
      <c r="O149" s="124"/>
      <c r="P149" s="124"/>
      <c r="Q149" s="124"/>
      <c r="R149" s="124"/>
      <c r="S149" s="124"/>
      <c r="T149" s="124"/>
      <c r="U149" s="124"/>
      <c r="V149" s="124"/>
      <c r="W149" s="124"/>
      <c r="X149" s="124"/>
      <c r="Y149" s="124"/>
      <c r="Z149" s="124"/>
    </row>
    <row r="150" spans="1:26" ht="196">
      <c r="A150" s="125" t="s">
        <v>3288</v>
      </c>
      <c r="B150" s="115" t="s">
        <v>3291</v>
      </c>
      <c r="C150" s="115" t="s">
        <v>3293</v>
      </c>
      <c r="D150" s="125" t="s">
        <v>2435</v>
      </c>
      <c r="E150" s="115" t="s">
        <v>3267</v>
      </c>
      <c r="F150" s="115" t="s">
        <v>46</v>
      </c>
      <c r="G150" s="123" t="s">
        <v>3297</v>
      </c>
      <c r="H150" s="115" t="s">
        <v>3280</v>
      </c>
      <c r="I150" s="60" t="s">
        <v>32</v>
      </c>
      <c r="J150" s="124"/>
      <c r="K150" s="124"/>
      <c r="L150" s="124"/>
      <c r="M150" s="124"/>
      <c r="N150" s="124"/>
      <c r="O150" s="124"/>
      <c r="P150" s="124"/>
      <c r="Q150" s="124"/>
      <c r="R150" s="124"/>
      <c r="S150" s="124"/>
      <c r="T150" s="124"/>
      <c r="U150" s="124"/>
      <c r="V150" s="124"/>
      <c r="W150" s="124"/>
      <c r="X150" s="124"/>
      <c r="Y150" s="124"/>
      <c r="Z150" s="124"/>
    </row>
    <row r="151" spans="1:26" ht="140">
      <c r="A151" s="125" t="s">
        <v>3312</v>
      </c>
      <c r="B151" s="115" t="s">
        <v>3313</v>
      </c>
      <c r="C151" s="115" t="s">
        <v>3314</v>
      </c>
      <c r="D151" s="125" t="s">
        <v>2435</v>
      </c>
      <c r="E151" s="115" t="s">
        <v>3267</v>
      </c>
      <c r="F151" s="115" t="s">
        <v>46</v>
      </c>
      <c r="G151" s="123" t="s">
        <v>3315</v>
      </c>
      <c r="H151" s="115" t="s">
        <v>3280</v>
      </c>
      <c r="I151" s="60" t="s">
        <v>32</v>
      </c>
      <c r="J151" s="124"/>
      <c r="K151" s="124"/>
      <c r="L151" s="124"/>
      <c r="M151" s="124"/>
      <c r="N151" s="124"/>
      <c r="O151" s="124"/>
      <c r="P151" s="124"/>
      <c r="Q151" s="124"/>
      <c r="R151" s="124"/>
      <c r="S151" s="124"/>
      <c r="T151" s="124"/>
      <c r="U151" s="124"/>
      <c r="V151" s="124"/>
      <c r="W151" s="124"/>
      <c r="X151" s="124"/>
      <c r="Y151" s="124"/>
      <c r="Z151" s="124"/>
    </row>
    <row r="152" spans="1:26" ht="42">
      <c r="A152" s="125" t="s">
        <v>3330</v>
      </c>
      <c r="B152" s="115" t="s">
        <v>3331</v>
      </c>
      <c r="C152" s="115" t="s">
        <v>3332</v>
      </c>
      <c r="D152" s="125" t="s">
        <v>2435</v>
      </c>
      <c r="E152" s="115" t="s">
        <v>3267</v>
      </c>
      <c r="F152" s="115" t="s">
        <v>46</v>
      </c>
      <c r="G152" s="126" t="s">
        <v>3334</v>
      </c>
      <c r="H152" s="115" t="s">
        <v>3280</v>
      </c>
      <c r="I152" s="60" t="s">
        <v>32</v>
      </c>
      <c r="J152" s="124"/>
      <c r="K152" s="124"/>
      <c r="L152" s="124"/>
      <c r="M152" s="124"/>
      <c r="N152" s="124"/>
      <c r="O152" s="124"/>
      <c r="P152" s="124"/>
      <c r="Q152" s="124"/>
      <c r="R152" s="124"/>
      <c r="S152" s="124"/>
      <c r="T152" s="124"/>
      <c r="U152" s="124"/>
      <c r="V152" s="124"/>
      <c r="W152" s="124"/>
      <c r="X152" s="124"/>
      <c r="Y152" s="124"/>
      <c r="Z152" s="124"/>
    </row>
    <row r="153" spans="1:26" ht="224">
      <c r="A153" s="125" t="s">
        <v>3346</v>
      </c>
      <c r="B153" s="115" t="s">
        <v>3349</v>
      </c>
      <c r="C153" s="115" t="s">
        <v>3351</v>
      </c>
      <c r="D153" s="125" t="s">
        <v>2435</v>
      </c>
      <c r="E153" s="115" t="s">
        <v>3267</v>
      </c>
      <c r="F153" s="115" t="s">
        <v>387</v>
      </c>
      <c r="G153" s="123" t="s">
        <v>3352</v>
      </c>
      <c r="H153" s="115" t="s">
        <v>3280</v>
      </c>
      <c r="I153" s="115" t="s">
        <v>266</v>
      </c>
      <c r="J153" s="124"/>
      <c r="K153" s="124"/>
      <c r="L153" s="124"/>
      <c r="M153" s="124"/>
      <c r="N153" s="124"/>
      <c r="O153" s="124"/>
      <c r="P153" s="124"/>
      <c r="Q153" s="124"/>
      <c r="R153" s="124"/>
      <c r="S153" s="124"/>
      <c r="T153" s="124"/>
      <c r="U153" s="124"/>
      <c r="V153" s="124"/>
      <c r="W153" s="124"/>
      <c r="X153" s="124"/>
      <c r="Y153" s="124"/>
      <c r="Z153" s="124"/>
    </row>
    <row r="154" spans="1:26" ht="168">
      <c r="A154" s="72" t="s">
        <v>3366</v>
      </c>
      <c r="B154" s="127" t="s">
        <v>3368</v>
      </c>
      <c r="C154" s="128" t="s">
        <v>3372</v>
      </c>
      <c r="D154" s="72" t="s">
        <v>3199</v>
      </c>
      <c r="E154" s="72" t="s">
        <v>3200</v>
      </c>
      <c r="F154" s="72" t="s">
        <v>33</v>
      </c>
      <c r="G154" s="129" t="s">
        <v>3203</v>
      </c>
      <c r="H154" s="72" t="s">
        <v>3206</v>
      </c>
      <c r="I154" s="60" t="s">
        <v>63</v>
      </c>
      <c r="J154" s="61"/>
      <c r="K154" s="61"/>
      <c r="L154" s="61"/>
      <c r="M154" s="61"/>
      <c r="N154" s="61"/>
      <c r="O154" s="61"/>
      <c r="P154" s="61"/>
      <c r="Q154" s="61"/>
      <c r="R154" s="61"/>
      <c r="S154" s="61"/>
      <c r="T154" s="61"/>
      <c r="U154" s="61"/>
      <c r="V154" s="61"/>
      <c r="W154" s="61"/>
      <c r="X154" s="61"/>
      <c r="Y154" s="61"/>
      <c r="Z154" s="61"/>
    </row>
    <row r="155" spans="1:26" ht="176">
      <c r="A155" s="130" t="s">
        <v>3384</v>
      </c>
      <c r="B155" s="131" t="s">
        <v>3391</v>
      </c>
      <c r="C155" s="131" t="s">
        <v>3396</v>
      </c>
      <c r="D155" s="132" t="s">
        <v>3199</v>
      </c>
      <c r="E155" s="132" t="s">
        <v>3200</v>
      </c>
      <c r="F155" s="132" t="s">
        <v>33</v>
      </c>
      <c r="G155" s="133" t="s">
        <v>3401</v>
      </c>
      <c r="H155" s="132" t="s">
        <v>3206</v>
      </c>
      <c r="I155" s="51" t="s">
        <v>3406</v>
      </c>
      <c r="J155" s="52"/>
      <c r="K155" s="52"/>
      <c r="L155" s="52"/>
      <c r="M155" s="52"/>
      <c r="N155" s="52"/>
      <c r="O155" s="52"/>
      <c r="P155" s="52"/>
      <c r="Q155" s="52"/>
      <c r="R155" s="52"/>
      <c r="S155" s="52"/>
      <c r="T155" s="52"/>
      <c r="U155" s="52"/>
      <c r="V155" s="52"/>
      <c r="W155" s="52"/>
      <c r="X155" s="52"/>
      <c r="Y155" s="52"/>
      <c r="Z155" s="52"/>
    </row>
    <row r="156" spans="1:26" ht="150">
      <c r="A156" s="130" t="s">
        <v>3413</v>
      </c>
      <c r="B156" s="134" t="s">
        <v>3414</v>
      </c>
      <c r="C156" s="131" t="s">
        <v>3416</v>
      </c>
      <c r="D156" s="132" t="s">
        <v>3199</v>
      </c>
      <c r="E156" s="132" t="s">
        <v>3200</v>
      </c>
      <c r="F156" s="132" t="s">
        <v>33</v>
      </c>
      <c r="G156" s="133" t="s">
        <v>3401</v>
      </c>
      <c r="H156" s="132" t="s">
        <v>3206</v>
      </c>
      <c r="I156" s="51" t="s">
        <v>357</v>
      </c>
      <c r="J156" s="52"/>
      <c r="K156" s="52"/>
      <c r="L156" s="52"/>
      <c r="M156" s="52"/>
      <c r="N156" s="52"/>
      <c r="O156" s="52"/>
      <c r="P156" s="52"/>
      <c r="Q156" s="52"/>
      <c r="R156" s="52"/>
      <c r="S156" s="52"/>
      <c r="T156" s="52"/>
      <c r="U156" s="52"/>
      <c r="V156" s="52"/>
      <c r="W156" s="52"/>
      <c r="X156" s="52"/>
      <c r="Y156" s="52"/>
      <c r="Z156" s="52"/>
    </row>
    <row r="157" spans="1:26" ht="208">
      <c r="A157" s="130" t="s">
        <v>3425</v>
      </c>
      <c r="B157" s="131" t="s">
        <v>3427</v>
      </c>
      <c r="C157" s="131" t="s">
        <v>3428</v>
      </c>
      <c r="D157" s="132" t="s">
        <v>3199</v>
      </c>
      <c r="E157" s="132" t="s">
        <v>3200</v>
      </c>
      <c r="F157" s="132" t="s">
        <v>33</v>
      </c>
      <c r="G157" s="133" t="s">
        <v>3401</v>
      </c>
      <c r="H157" s="132" t="s">
        <v>3206</v>
      </c>
      <c r="I157" s="60" t="s">
        <v>214</v>
      </c>
      <c r="J157" s="52"/>
      <c r="K157" s="52"/>
      <c r="L157" s="52"/>
      <c r="M157" s="52"/>
      <c r="N157" s="52"/>
      <c r="O157" s="52"/>
      <c r="P157" s="52"/>
      <c r="Q157" s="52"/>
      <c r="R157" s="52"/>
      <c r="S157" s="52"/>
      <c r="T157" s="52"/>
      <c r="U157" s="52"/>
      <c r="V157" s="52"/>
      <c r="W157" s="52"/>
      <c r="X157" s="52"/>
      <c r="Y157" s="52"/>
      <c r="Z157" s="52"/>
    </row>
    <row r="158" spans="1:26" ht="112">
      <c r="A158" s="72" t="s">
        <v>3436</v>
      </c>
      <c r="B158" s="72" t="s">
        <v>3437</v>
      </c>
      <c r="C158" s="72" t="s">
        <v>3441</v>
      </c>
      <c r="D158" s="135" t="s">
        <v>3443</v>
      </c>
      <c r="E158" s="72" t="s">
        <v>3449</v>
      </c>
      <c r="F158" s="72" t="s">
        <v>3450</v>
      </c>
      <c r="G158" s="112" t="s">
        <v>3451</v>
      </c>
      <c r="H158" s="72" t="s">
        <v>3461</v>
      </c>
      <c r="I158" s="60" t="s">
        <v>214</v>
      </c>
      <c r="J158" s="77"/>
      <c r="K158" s="77"/>
      <c r="L158" s="77"/>
      <c r="M158" s="77"/>
      <c r="N158" s="77"/>
      <c r="O158" s="77"/>
      <c r="P158" s="77"/>
      <c r="Q158" s="77"/>
      <c r="R158" s="77"/>
      <c r="S158" s="77"/>
      <c r="T158" s="77"/>
      <c r="U158" s="77"/>
      <c r="V158" s="77"/>
      <c r="W158" s="77"/>
      <c r="X158" s="77"/>
      <c r="Y158" s="77"/>
      <c r="Z158" s="77"/>
    </row>
    <row r="159" spans="1:26" ht="112">
      <c r="A159" s="72" t="s">
        <v>3469</v>
      </c>
      <c r="B159" s="72" t="s">
        <v>3470</v>
      </c>
      <c r="C159" s="72" t="s">
        <v>3471</v>
      </c>
      <c r="D159" s="135" t="s">
        <v>3443</v>
      </c>
      <c r="E159" s="72" t="s">
        <v>3449</v>
      </c>
      <c r="F159" s="72" t="s">
        <v>3450</v>
      </c>
      <c r="G159" s="112" t="s">
        <v>3479</v>
      </c>
      <c r="H159" s="72" t="s">
        <v>3461</v>
      </c>
      <c r="I159" s="60" t="s">
        <v>32</v>
      </c>
      <c r="J159" s="77"/>
      <c r="K159" s="77"/>
      <c r="L159" s="77"/>
      <c r="M159" s="77"/>
      <c r="N159" s="77"/>
      <c r="O159" s="77"/>
      <c r="P159" s="77"/>
      <c r="Q159" s="77"/>
      <c r="R159" s="77"/>
      <c r="S159" s="77"/>
      <c r="T159" s="77"/>
      <c r="U159" s="77"/>
      <c r="V159" s="77"/>
      <c r="W159" s="77"/>
      <c r="X159" s="77"/>
      <c r="Y159" s="77"/>
      <c r="Z159" s="77"/>
    </row>
    <row r="160" spans="1:26" ht="182">
      <c r="A160" s="72" t="s">
        <v>3494</v>
      </c>
      <c r="B160" s="72" t="s">
        <v>3496</v>
      </c>
      <c r="C160" s="72" t="s">
        <v>3498</v>
      </c>
      <c r="D160" s="135" t="s">
        <v>3443</v>
      </c>
      <c r="E160" s="72" t="s">
        <v>3449</v>
      </c>
      <c r="F160" s="72" t="s">
        <v>3450</v>
      </c>
      <c r="G160" s="112" t="s">
        <v>3505</v>
      </c>
      <c r="H160" s="72" t="s">
        <v>3461</v>
      </c>
      <c r="I160" s="60" t="s">
        <v>32</v>
      </c>
      <c r="J160" s="77"/>
      <c r="K160" s="77"/>
      <c r="L160" s="77"/>
      <c r="M160" s="77"/>
      <c r="N160" s="77"/>
      <c r="O160" s="77"/>
      <c r="P160" s="77"/>
      <c r="Q160" s="77"/>
      <c r="R160" s="77"/>
      <c r="S160" s="77"/>
      <c r="T160" s="77"/>
      <c r="U160" s="77"/>
      <c r="V160" s="77"/>
      <c r="W160" s="77"/>
      <c r="X160" s="77"/>
      <c r="Y160" s="77"/>
      <c r="Z160" s="77"/>
    </row>
    <row r="161" spans="1:26" ht="140">
      <c r="A161" s="72" t="s">
        <v>3522</v>
      </c>
      <c r="B161" s="72" t="s">
        <v>3523</v>
      </c>
      <c r="C161" s="72" t="s">
        <v>3524</v>
      </c>
      <c r="D161" s="135" t="s">
        <v>3443</v>
      </c>
      <c r="E161" s="72" t="s">
        <v>3449</v>
      </c>
      <c r="F161" s="72" t="s">
        <v>3533</v>
      </c>
      <c r="G161" s="112" t="s">
        <v>3534</v>
      </c>
      <c r="H161" s="72" t="s">
        <v>3461</v>
      </c>
      <c r="I161" s="72" t="s">
        <v>470</v>
      </c>
      <c r="J161" s="77"/>
      <c r="K161" s="77"/>
      <c r="L161" s="77"/>
      <c r="M161" s="77"/>
      <c r="N161" s="77"/>
      <c r="O161" s="77"/>
      <c r="P161" s="77"/>
      <c r="Q161" s="77"/>
      <c r="R161" s="77"/>
      <c r="S161" s="77"/>
      <c r="T161" s="77"/>
      <c r="U161" s="77"/>
      <c r="V161" s="77"/>
      <c r="W161" s="77"/>
      <c r="X161" s="77"/>
      <c r="Y161" s="77"/>
      <c r="Z161" s="77"/>
    </row>
    <row r="162" spans="1:26" ht="126">
      <c r="A162" s="72" t="s">
        <v>3544</v>
      </c>
      <c r="B162" s="72" t="s">
        <v>3547</v>
      </c>
      <c r="C162" s="72" t="s">
        <v>3550</v>
      </c>
      <c r="D162" s="135" t="s">
        <v>3443</v>
      </c>
      <c r="E162" s="72" t="s">
        <v>3449</v>
      </c>
      <c r="F162" s="72" t="s">
        <v>3533</v>
      </c>
      <c r="G162" s="112" t="s">
        <v>3555</v>
      </c>
      <c r="H162" s="72" t="s">
        <v>3461</v>
      </c>
      <c r="I162" s="72" t="s">
        <v>296</v>
      </c>
      <c r="J162" s="77"/>
      <c r="K162" s="77"/>
      <c r="L162" s="77"/>
      <c r="M162" s="77"/>
      <c r="N162" s="77"/>
      <c r="O162" s="77"/>
      <c r="P162" s="77"/>
      <c r="Q162" s="77"/>
      <c r="R162" s="77"/>
      <c r="S162" s="77"/>
      <c r="T162" s="77"/>
      <c r="U162" s="77"/>
      <c r="V162" s="77"/>
      <c r="W162" s="77"/>
      <c r="X162" s="77"/>
      <c r="Y162" s="77"/>
      <c r="Z162" s="77"/>
    </row>
    <row r="163" spans="1:26" ht="168">
      <c r="A163" s="72" t="s">
        <v>1839</v>
      </c>
      <c r="B163" s="72" t="s">
        <v>3569</v>
      </c>
      <c r="C163" s="72" t="s">
        <v>3570</v>
      </c>
      <c r="D163" s="135" t="s">
        <v>3443</v>
      </c>
      <c r="E163" s="72" t="s">
        <v>3449</v>
      </c>
      <c r="F163" s="72" t="s">
        <v>3533</v>
      </c>
      <c r="G163" s="112" t="s">
        <v>3578</v>
      </c>
      <c r="H163" s="72" t="s">
        <v>3461</v>
      </c>
      <c r="I163" s="60" t="s">
        <v>326</v>
      </c>
      <c r="J163" s="77"/>
      <c r="K163" s="77"/>
      <c r="L163" s="77"/>
      <c r="M163" s="77"/>
      <c r="N163" s="77"/>
      <c r="O163" s="77"/>
      <c r="P163" s="77"/>
      <c r="Q163" s="77"/>
      <c r="R163" s="77"/>
      <c r="S163" s="77"/>
      <c r="T163" s="77"/>
      <c r="U163" s="77"/>
      <c r="V163" s="77"/>
      <c r="W163" s="77"/>
      <c r="X163" s="77"/>
      <c r="Y163" s="77"/>
      <c r="Z163" s="77"/>
    </row>
    <row r="164" spans="1:26" ht="196">
      <c r="A164" s="72" t="s">
        <v>69</v>
      </c>
      <c r="B164" s="72" t="s">
        <v>3591</v>
      </c>
      <c r="C164" s="72" t="s">
        <v>3593</v>
      </c>
      <c r="D164" s="72" t="s">
        <v>3595</v>
      </c>
      <c r="E164" s="72" t="s">
        <v>3597</v>
      </c>
      <c r="F164" s="72" t="s">
        <v>3598</v>
      </c>
      <c r="G164" s="112" t="s">
        <v>3600</v>
      </c>
      <c r="H164" s="72" t="s">
        <v>3612</v>
      </c>
      <c r="I164" s="60" t="s">
        <v>32</v>
      </c>
      <c r="J164" s="61"/>
      <c r="K164" s="61"/>
      <c r="L164" s="61"/>
      <c r="M164" s="61"/>
      <c r="N164" s="61"/>
      <c r="O164" s="61"/>
      <c r="P164" s="61"/>
      <c r="Q164" s="61"/>
      <c r="R164" s="61"/>
      <c r="S164" s="61"/>
      <c r="T164" s="61"/>
      <c r="U164" s="61"/>
      <c r="V164" s="61"/>
      <c r="W164" s="61"/>
      <c r="X164" s="61"/>
      <c r="Y164" s="61"/>
      <c r="Z164" s="61"/>
    </row>
    <row r="165" spans="1:26" ht="112">
      <c r="A165" s="72" t="s">
        <v>2228</v>
      </c>
      <c r="B165" s="72" t="s">
        <v>3614</v>
      </c>
      <c r="C165" s="72" t="s">
        <v>3616</v>
      </c>
      <c r="D165" s="72" t="s">
        <v>3595</v>
      </c>
      <c r="E165" s="72" t="s">
        <v>3597</v>
      </c>
      <c r="F165" s="72" t="s">
        <v>3598</v>
      </c>
      <c r="G165" s="112" t="s">
        <v>3619</v>
      </c>
      <c r="H165" s="72" t="s">
        <v>3612</v>
      </c>
      <c r="I165" s="60" t="s">
        <v>32</v>
      </c>
      <c r="J165" s="61"/>
      <c r="K165" s="61"/>
      <c r="L165" s="61"/>
      <c r="M165" s="61"/>
      <c r="N165" s="61"/>
      <c r="O165" s="61"/>
      <c r="P165" s="61"/>
      <c r="Q165" s="61"/>
      <c r="R165" s="61"/>
      <c r="S165" s="61"/>
      <c r="T165" s="61"/>
      <c r="U165" s="61"/>
      <c r="V165" s="61"/>
      <c r="W165" s="61"/>
      <c r="X165" s="61"/>
      <c r="Y165" s="61"/>
      <c r="Z165" s="61"/>
    </row>
    <row r="166" spans="1:26" ht="196">
      <c r="A166" s="72" t="s">
        <v>3631</v>
      </c>
      <c r="B166" s="72" t="s">
        <v>3632</v>
      </c>
      <c r="C166" s="72" t="s">
        <v>3633</v>
      </c>
      <c r="D166" s="72" t="s">
        <v>3595</v>
      </c>
      <c r="E166" s="72" t="s">
        <v>3597</v>
      </c>
      <c r="F166" s="72" t="s">
        <v>3598</v>
      </c>
      <c r="G166" s="112" t="s">
        <v>3634</v>
      </c>
      <c r="H166" s="72" t="s">
        <v>3612</v>
      </c>
      <c r="I166" s="60" t="s">
        <v>32</v>
      </c>
      <c r="J166" s="61"/>
      <c r="K166" s="61"/>
      <c r="L166" s="61"/>
      <c r="M166" s="61"/>
      <c r="N166" s="61"/>
      <c r="O166" s="61"/>
      <c r="P166" s="61"/>
      <c r="Q166" s="61"/>
      <c r="R166" s="61"/>
      <c r="S166" s="61"/>
      <c r="T166" s="61"/>
      <c r="U166" s="61"/>
      <c r="V166" s="61"/>
      <c r="W166" s="61"/>
      <c r="X166" s="61"/>
      <c r="Y166" s="61"/>
      <c r="Z166" s="61"/>
    </row>
    <row r="167" spans="1:26" ht="252">
      <c r="A167" s="113" t="s">
        <v>3654</v>
      </c>
      <c r="B167" s="72" t="s">
        <v>3655</v>
      </c>
      <c r="C167" s="72" t="s">
        <v>3656</v>
      </c>
      <c r="D167" s="72" t="s">
        <v>3657</v>
      </c>
      <c r="E167" s="72" t="s">
        <v>2637</v>
      </c>
      <c r="F167" s="72" t="s">
        <v>46</v>
      </c>
      <c r="G167" s="112" t="s">
        <v>3662</v>
      </c>
      <c r="H167" s="72" t="s">
        <v>3674</v>
      </c>
      <c r="I167" s="60" t="s">
        <v>32</v>
      </c>
      <c r="J167" s="77"/>
      <c r="K167" s="77"/>
      <c r="L167" s="77"/>
      <c r="M167" s="77"/>
      <c r="N167" s="77"/>
      <c r="O167" s="77"/>
      <c r="P167" s="77"/>
      <c r="Q167" s="77"/>
      <c r="R167" s="77"/>
      <c r="S167" s="77"/>
      <c r="T167" s="77"/>
      <c r="U167" s="77"/>
      <c r="V167" s="77"/>
      <c r="W167" s="77"/>
      <c r="X167" s="77"/>
      <c r="Y167" s="77"/>
      <c r="Z167" s="77"/>
    </row>
    <row r="168" spans="1:26" ht="224">
      <c r="A168" s="113" t="s">
        <v>3680</v>
      </c>
      <c r="B168" s="72" t="s">
        <v>3681</v>
      </c>
      <c r="C168" s="72" t="s">
        <v>3682</v>
      </c>
      <c r="D168" s="72" t="s">
        <v>3657</v>
      </c>
      <c r="E168" s="72" t="s">
        <v>2637</v>
      </c>
      <c r="F168" s="72" t="s">
        <v>46</v>
      </c>
      <c r="G168" s="112" t="s">
        <v>3683</v>
      </c>
      <c r="H168" s="72" t="s">
        <v>3674</v>
      </c>
      <c r="I168" s="60" t="s">
        <v>32</v>
      </c>
      <c r="J168" s="77"/>
      <c r="K168" s="77"/>
      <c r="L168" s="77"/>
      <c r="M168" s="77"/>
      <c r="N168" s="77"/>
      <c r="O168" s="77"/>
      <c r="P168" s="77"/>
      <c r="Q168" s="77"/>
      <c r="R168" s="77"/>
      <c r="S168" s="77"/>
      <c r="T168" s="77"/>
      <c r="U168" s="77"/>
      <c r="V168" s="77"/>
      <c r="W168" s="77"/>
      <c r="X168" s="77"/>
      <c r="Y168" s="77"/>
      <c r="Z168" s="77"/>
    </row>
    <row r="169" spans="1:26" ht="140">
      <c r="A169" s="113" t="s">
        <v>798</v>
      </c>
      <c r="B169" s="72" t="s">
        <v>3698</v>
      </c>
      <c r="C169" s="72" t="s">
        <v>3700</v>
      </c>
      <c r="D169" s="72" t="s">
        <v>3657</v>
      </c>
      <c r="E169" s="72" t="s">
        <v>2637</v>
      </c>
      <c r="F169" s="72" t="s">
        <v>46</v>
      </c>
      <c r="G169" s="112" t="s">
        <v>3702</v>
      </c>
      <c r="H169" s="72" t="s">
        <v>3674</v>
      </c>
      <c r="I169" s="60" t="s">
        <v>32</v>
      </c>
      <c r="J169" s="77"/>
      <c r="K169" s="77"/>
      <c r="L169" s="77"/>
      <c r="M169" s="77"/>
      <c r="N169" s="77"/>
      <c r="O169" s="77"/>
      <c r="P169" s="77"/>
      <c r="Q169" s="77"/>
      <c r="R169" s="77"/>
      <c r="S169" s="77"/>
      <c r="T169" s="77"/>
      <c r="U169" s="77"/>
      <c r="V169" s="77"/>
      <c r="W169" s="77"/>
      <c r="X169" s="77"/>
      <c r="Y169" s="77"/>
      <c r="Z169" s="77"/>
    </row>
    <row r="170" spans="1:26" ht="238">
      <c r="A170" s="72" t="s">
        <v>3714</v>
      </c>
      <c r="B170" s="72" t="s">
        <v>3717</v>
      </c>
      <c r="C170" s="72" t="s">
        <v>3719</v>
      </c>
      <c r="D170" s="72" t="s">
        <v>3720</v>
      </c>
      <c r="E170" s="72" t="s">
        <v>3721</v>
      </c>
      <c r="F170" s="72" t="s">
        <v>46</v>
      </c>
      <c r="G170" s="112" t="s">
        <v>3722</v>
      </c>
      <c r="H170" s="72" t="s">
        <v>3731</v>
      </c>
      <c r="I170" s="60" t="s">
        <v>161</v>
      </c>
      <c r="J170" s="61"/>
      <c r="K170" s="61"/>
      <c r="L170" s="61"/>
      <c r="M170" s="61"/>
      <c r="N170" s="61"/>
      <c r="O170" s="61"/>
      <c r="P170" s="61"/>
      <c r="Q170" s="61"/>
      <c r="R170" s="61"/>
      <c r="S170" s="61"/>
      <c r="T170" s="61"/>
      <c r="U170" s="61"/>
      <c r="V170" s="61"/>
      <c r="W170" s="61"/>
      <c r="X170" s="61"/>
      <c r="Y170" s="61"/>
      <c r="Z170" s="61"/>
    </row>
    <row r="171" spans="1:26" ht="210">
      <c r="A171" s="113" t="s">
        <v>2228</v>
      </c>
      <c r="B171" s="72" t="s">
        <v>3738</v>
      </c>
      <c r="C171" s="72" t="s">
        <v>3739</v>
      </c>
      <c r="D171" s="72" t="s">
        <v>3657</v>
      </c>
      <c r="E171" s="72" t="s">
        <v>2637</v>
      </c>
      <c r="F171" s="72" t="s">
        <v>46</v>
      </c>
      <c r="G171" s="112" t="s">
        <v>3740</v>
      </c>
      <c r="H171" s="72" t="s">
        <v>3674</v>
      </c>
      <c r="I171" s="60" t="s">
        <v>32</v>
      </c>
      <c r="J171" s="77"/>
      <c r="K171" s="77"/>
      <c r="L171" s="77"/>
      <c r="M171" s="77"/>
      <c r="N171" s="77"/>
      <c r="O171" s="77"/>
      <c r="P171" s="77"/>
      <c r="Q171" s="77"/>
      <c r="R171" s="77"/>
      <c r="S171" s="77"/>
      <c r="T171" s="77"/>
      <c r="U171" s="77"/>
      <c r="V171" s="77"/>
      <c r="W171" s="77"/>
      <c r="X171" s="77"/>
      <c r="Y171" s="77"/>
      <c r="Z171" s="77"/>
    </row>
    <row r="172" spans="1:26" ht="224">
      <c r="A172" s="113" t="s">
        <v>3755</v>
      </c>
      <c r="B172" s="72" t="s">
        <v>3756</v>
      </c>
      <c r="C172" s="72" t="s">
        <v>3758</v>
      </c>
      <c r="D172" s="72" t="s">
        <v>3657</v>
      </c>
      <c r="E172" s="72" t="s">
        <v>2637</v>
      </c>
      <c r="F172" s="72" t="s">
        <v>46</v>
      </c>
      <c r="G172" s="112" t="s">
        <v>3765</v>
      </c>
      <c r="H172" s="72" t="s">
        <v>3674</v>
      </c>
      <c r="I172" s="60" t="s">
        <v>32</v>
      </c>
      <c r="J172" s="77"/>
      <c r="K172" s="77"/>
      <c r="L172" s="77"/>
      <c r="M172" s="77"/>
      <c r="N172" s="77"/>
      <c r="O172" s="77"/>
      <c r="P172" s="77"/>
      <c r="Q172" s="77"/>
      <c r="R172" s="77"/>
      <c r="S172" s="77"/>
      <c r="T172" s="77"/>
      <c r="U172" s="77"/>
      <c r="V172" s="77"/>
      <c r="W172" s="77"/>
      <c r="X172" s="77"/>
      <c r="Y172" s="77"/>
      <c r="Z172" s="77"/>
    </row>
    <row r="173" spans="1:26" ht="182">
      <c r="A173" s="113" t="s">
        <v>3780</v>
      </c>
      <c r="B173" s="72" t="s">
        <v>3783</v>
      </c>
      <c r="C173" s="72" t="s">
        <v>3785</v>
      </c>
      <c r="D173" s="72" t="s">
        <v>3657</v>
      </c>
      <c r="E173" s="72" t="s">
        <v>2637</v>
      </c>
      <c r="F173" s="72" t="s">
        <v>46</v>
      </c>
      <c r="G173" s="112" t="s">
        <v>3786</v>
      </c>
      <c r="H173" s="72" t="s">
        <v>3674</v>
      </c>
      <c r="I173" s="60" t="s">
        <v>32</v>
      </c>
      <c r="J173" s="77"/>
      <c r="K173" s="77"/>
      <c r="L173" s="77"/>
      <c r="M173" s="77"/>
      <c r="N173" s="77"/>
      <c r="O173" s="77"/>
      <c r="P173" s="77"/>
      <c r="Q173" s="77"/>
      <c r="R173" s="77"/>
      <c r="S173" s="77"/>
      <c r="T173" s="77"/>
      <c r="U173" s="77"/>
      <c r="V173" s="77"/>
      <c r="W173" s="77"/>
      <c r="X173" s="77"/>
      <c r="Y173" s="77"/>
      <c r="Z173" s="77"/>
    </row>
    <row r="174" spans="1:26" ht="306">
      <c r="A174" s="113" t="s">
        <v>3799</v>
      </c>
      <c r="B174" s="72" t="s">
        <v>3802</v>
      </c>
      <c r="C174" s="72" t="s">
        <v>3805</v>
      </c>
      <c r="D174" s="72" t="s">
        <v>3806</v>
      </c>
      <c r="E174" s="72" t="s">
        <v>3807</v>
      </c>
      <c r="F174" s="72" t="s">
        <v>3808</v>
      </c>
      <c r="G174" s="112" t="s">
        <v>3809</v>
      </c>
      <c r="H174" s="72" t="s">
        <v>3816</v>
      </c>
      <c r="I174" s="72" t="s">
        <v>296</v>
      </c>
      <c r="J174" s="77"/>
      <c r="K174" s="77"/>
      <c r="L174" s="77"/>
      <c r="M174" s="77"/>
      <c r="N174" s="77"/>
      <c r="O174" s="77"/>
      <c r="P174" s="77"/>
      <c r="Q174" s="77"/>
      <c r="R174" s="77"/>
      <c r="S174" s="77"/>
      <c r="T174" s="77"/>
      <c r="U174" s="77"/>
      <c r="V174" s="77"/>
      <c r="W174" s="77"/>
      <c r="X174" s="77"/>
      <c r="Y174" s="77"/>
      <c r="Z174" s="77"/>
    </row>
    <row r="175" spans="1:26" ht="266">
      <c r="A175" s="113" t="s">
        <v>3823</v>
      </c>
      <c r="B175" s="72" t="s">
        <v>3824</v>
      </c>
      <c r="C175" s="72" t="s">
        <v>3826</v>
      </c>
      <c r="D175" s="72" t="s">
        <v>3806</v>
      </c>
      <c r="E175" s="72" t="s">
        <v>3807</v>
      </c>
      <c r="F175" s="72" t="s">
        <v>3808</v>
      </c>
      <c r="G175" s="112" t="s">
        <v>3830</v>
      </c>
      <c r="H175" s="72" t="s">
        <v>3816</v>
      </c>
      <c r="I175" s="72" t="s">
        <v>1419</v>
      </c>
      <c r="J175" s="77"/>
      <c r="K175" s="77"/>
      <c r="L175" s="77"/>
      <c r="M175" s="77"/>
      <c r="N175" s="77"/>
      <c r="O175" s="77"/>
      <c r="P175" s="77"/>
      <c r="Q175" s="77"/>
      <c r="R175" s="77"/>
      <c r="S175" s="77"/>
      <c r="T175" s="77"/>
      <c r="U175" s="77"/>
      <c r="V175" s="77"/>
      <c r="W175" s="77"/>
      <c r="X175" s="77"/>
      <c r="Y175" s="77"/>
      <c r="Z175" s="77"/>
    </row>
    <row r="176" spans="1:26" ht="224">
      <c r="A176" s="113" t="s">
        <v>3844</v>
      </c>
      <c r="B176" s="72" t="s">
        <v>3848</v>
      </c>
      <c r="C176" s="72" t="s">
        <v>3849</v>
      </c>
      <c r="D176" s="72" t="s">
        <v>3806</v>
      </c>
      <c r="E176" s="72" t="s">
        <v>3807</v>
      </c>
      <c r="F176" s="72" t="s">
        <v>3808</v>
      </c>
      <c r="G176" s="112" t="s">
        <v>3850</v>
      </c>
      <c r="H176" s="72" t="s">
        <v>3816</v>
      </c>
      <c r="I176" s="72" t="s">
        <v>266</v>
      </c>
      <c r="J176" s="77"/>
      <c r="K176" s="77"/>
      <c r="L176" s="77"/>
      <c r="M176" s="77"/>
      <c r="N176" s="77"/>
      <c r="O176" s="77"/>
      <c r="P176" s="77"/>
      <c r="Q176" s="77"/>
      <c r="R176" s="77"/>
      <c r="S176" s="77"/>
      <c r="T176" s="77"/>
      <c r="U176" s="77"/>
      <c r="V176" s="77"/>
      <c r="W176" s="77"/>
      <c r="X176" s="77"/>
      <c r="Y176" s="77"/>
      <c r="Z176" s="77"/>
    </row>
    <row r="177" spans="1:26" ht="210">
      <c r="A177" s="113" t="s">
        <v>1972</v>
      </c>
      <c r="B177" s="72" t="s">
        <v>3865</v>
      </c>
      <c r="C177" s="72" t="s">
        <v>3868</v>
      </c>
      <c r="D177" s="72" t="s">
        <v>3806</v>
      </c>
      <c r="E177" s="72" t="s">
        <v>3807</v>
      </c>
      <c r="F177" s="72" t="s">
        <v>3808</v>
      </c>
      <c r="G177" s="112" t="s">
        <v>3872</v>
      </c>
      <c r="H177" s="72" t="s">
        <v>3816</v>
      </c>
      <c r="I177" s="60" t="s">
        <v>161</v>
      </c>
      <c r="J177" s="77"/>
      <c r="K177" s="77"/>
      <c r="L177" s="77"/>
      <c r="M177" s="77"/>
      <c r="N177" s="77"/>
      <c r="O177" s="77"/>
      <c r="P177" s="77"/>
      <c r="Q177" s="77"/>
      <c r="R177" s="77"/>
      <c r="S177" s="77"/>
      <c r="T177" s="77"/>
      <c r="U177" s="77"/>
      <c r="V177" s="77"/>
      <c r="W177" s="77"/>
      <c r="X177" s="77"/>
      <c r="Y177" s="77"/>
      <c r="Z177" s="77"/>
    </row>
    <row r="178" spans="1:26" ht="98">
      <c r="A178" s="113" t="s">
        <v>3887</v>
      </c>
      <c r="B178" s="72" t="s">
        <v>3888</v>
      </c>
      <c r="C178" s="72" t="s">
        <v>3889</v>
      </c>
      <c r="D178" s="72"/>
      <c r="E178" s="72" t="s">
        <v>3896</v>
      </c>
      <c r="F178" s="72" t="s">
        <v>3897</v>
      </c>
      <c r="G178" s="136" t="s">
        <v>3898</v>
      </c>
      <c r="H178" s="72" t="s">
        <v>3903</v>
      </c>
      <c r="I178" s="72" t="s">
        <v>32</v>
      </c>
      <c r="J178" s="77"/>
      <c r="K178" s="77"/>
      <c r="L178" s="77"/>
      <c r="M178" s="77"/>
      <c r="N178" s="77"/>
      <c r="O178" s="77"/>
      <c r="P178" s="77"/>
      <c r="Q178" s="77"/>
      <c r="R178" s="77"/>
      <c r="S178" s="77"/>
      <c r="T178" s="77"/>
      <c r="U178" s="77"/>
      <c r="V178" s="77"/>
      <c r="W178" s="77"/>
      <c r="X178" s="77"/>
      <c r="Y178" s="77"/>
      <c r="Z178" s="77"/>
    </row>
    <row r="179" spans="1:26" ht="98">
      <c r="A179" s="45" t="s">
        <v>3910</v>
      </c>
      <c r="B179" s="94" t="s">
        <v>3911</v>
      </c>
      <c r="C179" s="46" t="s">
        <v>3913</v>
      </c>
      <c r="D179" s="46" t="s">
        <v>3915</v>
      </c>
      <c r="E179" s="46" t="s">
        <v>3917</v>
      </c>
      <c r="F179" s="46" t="s">
        <v>46</v>
      </c>
      <c r="G179" s="137" t="str">
        <f>HYPERLINK("https://boards.greenhouse.io/bcgdv/jobs/4666119002?gh_jid=4666119002","Here")</f>
        <v>Here</v>
      </c>
      <c r="H179" s="46" t="s">
        <v>3935</v>
      </c>
      <c r="I179" s="51" t="s">
        <v>470</v>
      </c>
      <c r="J179" s="52"/>
      <c r="K179" s="52"/>
      <c r="L179" s="52"/>
      <c r="M179" s="52"/>
      <c r="N179" s="52"/>
      <c r="O179" s="52"/>
      <c r="P179" s="52"/>
      <c r="Q179" s="52"/>
      <c r="R179" s="52"/>
      <c r="S179" s="52"/>
      <c r="T179" s="52"/>
      <c r="U179" s="52"/>
      <c r="V179" s="52"/>
      <c r="W179" s="52"/>
      <c r="X179" s="52"/>
      <c r="Y179" s="52"/>
      <c r="Z179" s="52"/>
    </row>
    <row r="180" spans="1:26" ht="56">
      <c r="A180" s="45" t="s">
        <v>3943</v>
      </c>
      <c r="B180" s="46" t="s">
        <v>3944</v>
      </c>
      <c r="C180" s="46" t="s">
        <v>3945</v>
      </c>
      <c r="D180" s="46" t="s">
        <v>3915</v>
      </c>
      <c r="E180" s="46" t="s">
        <v>3917</v>
      </c>
      <c r="F180" s="46" t="s">
        <v>46</v>
      </c>
      <c r="G180" s="137" t="str">
        <f>HYPERLINK("https://boards.greenhouse.io/bcgdv/jobs/4666127002?gh_jid=4666127002","Here")</f>
        <v>Here</v>
      </c>
      <c r="H180" s="46" t="s">
        <v>3935</v>
      </c>
      <c r="I180" s="51" t="s">
        <v>470</v>
      </c>
      <c r="J180" s="52"/>
      <c r="K180" s="52"/>
      <c r="L180" s="52"/>
      <c r="M180" s="52"/>
      <c r="N180" s="52"/>
      <c r="O180" s="52"/>
      <c r="P180" s="52"/>
      <c r="Q180" s="52"/>
      <c r="R180" s="52"/>
      <c r="S180" s="52"/>
      <c r="T180" s="52"/>
      <c r="U180" s="52"/>
      <c r="V180" s="52"/>
      <c r="W180" s="52"/>
      <c r="X180" s="52"/>
      <c r="Y180" s="52"/>
      <c r="Z180" s="52"/>
    </row>
    <row r="181" spans="1:26" ht="56">
      <c r="A181" s="45" t="s">
        <v>3961</v>
      </c>
      <c r="B181" s="46" t="s">
        <v>3962</v>
      </c>
      <c r="C181" s="46" t="s">
        <v>3963</v>
      </c>
      <c r="D181" s="46" t="s">
        <v>3915</v>
      </c>
      <c r="E181" s="46" t="s">
        <v>3917</v>
      </c>
      <c r="F181" s="46" t="s">
        <v>46</v>
      </c>
      <c r="G181" s="137" t="str">
        <f>HYPERLINK("https://boards.greenhouse.io/bcgdv/jobs/4678597002?gh_jid=4678597002","Here")</f>
        <v>Here</v>
      </c>
      <c r="H181" s="46" t="s">
        <v>3935</v>
      </c>
      <c r="I181" s="51" t="s">
        <v>357</v>
      </c>
      <c r="J181" s="52"/>
      <c r="K181" s="52"/>
      <c r="L181" s="52"/>
      <c r="M181" s="52"/>
      <c r="N181" s="52"/>
      <c r="O181" s="52"/>
      <c r="P181" s="52"/>
      <c r="Q181" s="52"/>
      <c r="R181" s="52"/>
      <c r="S181" s="52"/>
      <c r="T181" s="52"/>
      <c r="U181" s="52"/>
      <c r="V181" s="52"/>
      <c r="W181" s="52"/>
      <c r="X181" s="52"/>
      <c r="Y181" s="52"/>
      <c r="Z181" s="52"/>
    </row>
    <row r="182" spans="1:26" ht="84">
      <c r="A182" s="45" t="s">
        <v>560</v>
      </c>
      <c r="B182" s="46" t="s">
        <v>3979</v>
      </c>
      <c r="C182" s="46" t="s">
        <v>3980</v>
      </c>
      <c r="D182" s="46" t="s">
        <v>3915</v>
      </c>
      <c r="E182" s="46" t="s">
        <v>3917</v>
      </c>
      <c r="F182" s="46" t="s">
        <v>46</v>
      </c>
      <c r="G182" s="137" t="str">
        <f>HYPERLINK("https://boards.greenhouse.io/bcgdv/jobs/4681548002?gh_jid=4681548002","Here")</f>
        <v>Here</v>
      </c>
      <c r="H182" s="46" t="s">
        <v>3935</v>
      </c>
      <c r="I182" s="60" t="s">
        <v>214</v>
      </c>
      <c r="J182" s="52"/>
      <c r="K182" s="52"/>
      <c r="L182" s="52"/>
      <c r="M182" s="52"/>
      <c r="N182" s="52"/>
      <c r="O182" s="52"/>
      <c r="P182" s="52"/>
      <c r="Q182" s="52"/>
      <c r="R182" s="52"/>
      <c r="S182" s="52"/>
      <c r="T182" s="52"/>
      <c r="U182" s="52"/>
      <c r="V182" s="52"/>
      <c r="W182" s="52"/>
      <c r="X182" s="52"/>
      <c r="Y182" s="52"/>
      <c r="Z182" s="52"/>
    </row>
    <row r="183" spans="1:26" ht="61.5" customHeight="1">
      <c r="A183" s="45" t="s">
        <v>2228</v>
      </c>
      <c r="B183" s="46" t="s">
        <v>3988</v>
      </c>
      <c r="C183" s="46" t="s">
        <v>3990</v>
      </c>
      <c r="D183" s="46" t="s">
        <v>3915</v>
      </c>
      <c r="E183" s="46" t="s">
        <v>3917</v>
      </c>
      <c r="F183" s="46" t="s">
        <v>46</v>
      </c>
      <c r="G183" s="137" t="str">
        <f>HYPERLINK("https://boards.greenhouse.io/bcgdv/jobs/4654832002?gh_jid=4654832002","Here")</f>
        <v>Here</v>
      </c>
      <c r="H183" s="46" t="s">
        <v>3935</v>
      </c>
      <c r="I183" s="60" t="s">
        <v>32</v>
      </c>
      <c r="J183" s="52"/>
      <c r="K183" s="52"/>
      <c r="L183" s="52"/>
      <c r="M183" s="52"/>
      <c r="N183" s="52"/>
      <c r="O183" s="52"/>
      <c r="P183" s="52"/>
      <c r="Q183" s="52"/>
      <c r="R183" s="52"/>
      <c r="S183" s="52"/>
      <c r="T183" s="52"/>
      <c r="U183" s="52"/>
      <c r="V183" s="52"/>
      <c r="W183" s="52"/>
      <c r="X183" s="52"/>
      <c r="Y183" s="52"/>
      <c r="Z183" s="52"/>
    </row>
    <row r="184" spans="1:26" ht="158.25" customHeight="1">
      <c r="A184" s="45" t="s">
        <v>798</v>
      </c>
      <c r="B184" s="46" t="s">
        <v>4001</v>
      </c>
      <c r="C184" s="46" t="s">
        <v>4002</v>
      </c>
      <c r="D184" s="46" t="s">
        <v>3915</v>
      </c>
      <c r="E184" s="46" t="s">
        <v>3917</v>
      </c>
      <c r="F184" s="46" t="s">
        <v>46</v>
      </c>
      <c r="G184" s="137" t="str">
        <f>HYPERLINK("https://boards.greenhouse.io/bcgdv/jobs/4654834002?gh_jid=4654834002","Here")</f>
        <v>Here</v>
      </c>
      <c r="H184" s="46" t="s">
        <v>3935</v>
      </c>
      <c r="I184" s="60" t="s">
        <v>32</v>
      </c>
      <c r="J184" s="52"/>
      <c r="K184" s="52"/>
      <c r="L184" s="52"/>
      <c r="M184" s="52"/>
      <c r="N184" s="52"/>
      <c r="O184" s="52"/>
      <c r="P184" s="52"/>
      <c r="Q184" s="52"/>
      <c r="R184" s="52"/>
      <c r="S184" s="52"/>
      <c r="T184" s="52"/>
      <c r="U184" s="52"/>
      <c r="V184" s="52"/>
      <c r="W184" s="52"/>
      <c r="X184" s="52"/>
      <c r="Y184" s="52"/>
      <c r="Z184" s="52"/>
    </row>
    <row r="185" spans="1:26" ht="237" customHeight="1">
      <c r="A185" s="138" t="s">
        <v>434</v>
      </c>
      <c r="B185" s="72" t="s">
        <v>4014</v>
      </c>
      <c r="C185" s="115" t="s">
        <v>4015</v>
      </c>
      <c r="D185" s="138" t="s">
        <v>4016</v>
      </c>
      <c r="E185" s="138" t="s">
        <v>4018</v>
      </c>
      <c r="F185" s="138" t="s">
        <v>1958</v>
      </c>
      <c r="G185" s="139" t="s">
        <v>4021</v>
      </c>
      <c r="H185" s="138" t="s">
        <v>4026</v>
      </c>
      <c r="I185" s="60" t="s">
        <v>32</v>
      </c>
      <c r="J185" s="77"/>
      <c r="K185" s="77"/>
      <c r="L185" s="77"/>
      <c r="M185" s="77"/>
      <c r="N185" s="77"/>
      <c r="O185" s="77"/>
      <c r="P185" s="77"/>
      <c r="Q185" s="77"/>
      <c r="R185" s="77"/>
      <c r="S185" s="77"/>
      <c r="T185" s="77"/>
      <c r="U185" s="77"/>
      <c r="V185" s="77"/>
      <c r="W185" s="77"/>
      <c r="X185" s="77"/>
      <c r="Y185" s="77"/>
      <c r="Z185" s="77"/>
    </row>
    <row r="186" spans="1:26" ht="266.25" customHeight="1">
      <c r="A186" s="138" t="s">
        <v>4029</v>
      </c>
      <c r="B186" s="72" t="s">
        <v>4031</v>
      </c>
      <c r="C186" s="72" t="s">
        <v>4033</v>
      </c>
      <c r="D186" s="138" t="s">
        <v>4016</v>
      </c>
      <c r="E186" s="138" t="s">
        <v>4018</v>
      </c>
      <c r="F186" s="138" t="s">
        <v>1958</v>
      </c>
      <c r="G186" s="139" t="s">
        <v>4021</v>
      </c>
      <c r="H186" s="138" t="s">
        <v>4026</v>
      </c>
      <c r="I186" s="60" t="s">
        <v>394</v>
      </c>
      <c r="J186" s="61"/>
      <c r="K186" s="61"/>
      <c r="L186" s="61"/>
      <c r="M186" s="61"/>
      <c r="N186" s="61"/>
      <c r="O186" s="61"/>
      <c r="P186" s="61"/>
      <c r="Q186" s="61"/>
      <c r="R186" s="61"/>
      <c r="S186" s="61"/>
      <c r="T186" s="61"/>
      <c r="U186" s="61"/>
      <c r="V186" s="61"/>
      <c r="W186" s="61"/>
      <c r="X186" s="61"/>
      <c r="Y186" s="61"/>
      <c r="Z186" s="61"/>
    </row>
    <row r="187" spans="1:26" ht="181.5" customHeight="1">
      <c r="A187" s="138" t="s">
        <v>4045</v>
      </c>
      <c r="B187" s="72" t="s">
        <v>4047</v>
      </c>
      <c r="C187" s="72" t="s">
        <v>4048</v>
      </c>
      <c r="D187" s="138" t="s">
        <v>4016</v>
      </c>
      <c r="E187" s="138" t="s">
        <v>4018</v>
      </c>
      <c r="F187" s="138" t="s">
        <v>1958</v>
      </c>
      <c r="G187" s="139" t="s">
        <v>4021</v>
      </c>
      <c r="H187" s="138" t="s">
        <v>4026</v>
      </c>
      <c r="I187" s="60" t="s">
        <v>161</v>
      </c>
      <c r="J187" s="61"/>
      <c r="K187" s="61"/>
      <c r="L187" s="61"/>
      <c r="M187" s="61"/>
      <c r="N187" s="61"/>
      <c r="O187" s="61"/>
      <c r="P187" s="61"/>
      <c r="Q187" s="61"/>
      <c r="R187" s="61"/>
      <c r="S187" s="61"/>
      <c r="T187" s="61"/>
      <c r="U187" s="61"/>
      <c r="V187" s="61"/>
      <c r="W187" s="61"/>
      <c r="X187" s="61"/>
      <c r="Y187" s="61"/>
      <c r="Z187" s="61"/>
    </row>
    <row r="188" spans="1:26" ht="174" customHeight="1">
      <c r="A188" s="138" t="s">
        <v>927</v>
      </c>
      <c r="B188" s="72" t="s">
        <v>4053</v>
      </c>
      <c r="C188" s="72" t="s">
        <v>4054</v>
      </c>
      <c r="D188" s="138" t="s">
        <v>4016</v>
      </c>
      <c r="E188" s="138" t="s">
        <v>4018</v>
      </c>
      <c r="F188" s="138" t="s">
        <v>1958</v>
      </c>
      <c r="G188" s="139" t="s">
        <v>4021</v>
      </c>
      <c r="H188" s="138" t="s">
        <v>4026</v>
      </c>
      <c r="I188" s="60" t="s">
        <v>326</v>
      </c>
      <c r="J188" s="61"/>
      <c r="K188" s="61"/>
      <c r="L188" s="61"/>
      <c r="M188" s="61"/>
      <c r="N188" s="61"/>
      <c r="O188" s="61"/>
      <c r="P188" s="61"/>
      <c r="Q188" s="61"/>
      <c r="R188" s="61"/>
      <c r="S188" s="61"/>
      <c r="T188" s="61"/>
      <c r="U188" s="61"/>
      <c r="V188" s="61"/>
      <c r="W188" s="61"/>
      <c r="X188" s="61"/>
      <c r="Y188" s="61"/>
      <c r="Z188" s="61"/>
    </row>
    <row r="189" spans="1:26" ht="216" customHeight="1">
      <c r="A189" s="138" t="s">
        <v>4065</v>
      </c>
      <c r="B189" s="72" t="s">
        <v>4066</v>
      </c>
      <c r="C189" s="72" t="s">
        <v>4067</v>
      </c>
      <c r="D189" s="138" t="s">
        <v>4016</v>
      </c>
      <c r="E189" s="138" t="s">
        <v>4018</v>
      </c>
      <c r="F189" s="138" t="s">
        <v>1958</v>
      </c>
      <c r="G189" s="139" t="s">
        <v>4021</v>
      </c>
      <c r="H189" s="138" t="s">
        <v>4026</v>
      </c>
      <c r="I189" s="60" t="s">
        <v>409</v>
      </c>
      <c r="J189" s="61"/>
      <c r="K189" s="61"/>
      <c r="L189" s="61"/>
      <c r="M189" s="61"/>
      <c r="N189" s="61"/>
      <c r="O189" s="61"/>
      <c r="P189" s="61"/>
      <c r="Q189" s="61"/>
      <c r="R189" s="61"/>
      <c r="S189" s="61"/>
      <c r="T189" s="61"/>
      <c r="U189" s="61"/>
      <c r="V189" s="61"/>
      <c r="W189" s="61"/>
      <c r="X189" s="61"/>
      <c r="Y189" s="61"/>
      <c r="Z189" s="61"/>
    </row>
    <row r="190" spans="1:26" ht="196">
      <c r="A190" s="45" t="s">
        <v>1454</v>
      </c>
      <c r="B190" s="46" t="s">
        <v>4079</v>
      </c>
      <c r="C190" s="46" t="s">
        <v>4081</v>
      </c>
      <c r="D190" s="46" t="s">
        <v>4083</v>
      </c>
      <c r="E190" s="46" t="s">
        <v>4084</v>
      </c>
      <c r="F190" s="46" t="s">
        <v>506</v>
      </c>
      <c r="G190" s="50" t="s">
        <v>4089</v>
      </c>
      <c r="H190" s="46" t="s">
        <v>4099</v>
      </c>
      <c r="I190" s="60" t="s">
        <v>32</v>
      </c>
      <c r="J190" s="52"/>
      <c r="K190" s="52"/>
      <c r="L190" s="52"/>
      <c r="M190" s="52"/>
      <c r="N190" s="52"/>
      <c r="O190" s="52"/>
      <c r="P190" s="52"/>
      <c r="Q190" s="52"/>
      <c r="R190" s="52"/>
      <c r="S190" s="52"/>
      <c r="T190" s="52"/>
      <c r="U190" s="52"/>
      <c r="V190" s="51"/>
      <c r="W190" s="52"/>
      <c r="X190" s="52"/>
      <c r="Y190" s="52"/>
      <c r="Z190" s="52"/>
    </row>
    <row r="191" spans="1:26" ht="56">
      <c r="A191" s="45" t="s">
        <v>857</v>
      </c>
      <c r="B191" s="140" t="s">
        <v>4104</v>
      </c>
      <c r="C191" s="47" t="s">
        <v>4108</v>
      </c>
      <c r="D191" s="46" t="s">
        <v>4083</v>
      </c>
      <c r="E191" s="46" t="s">
        <v>4084</v>
      </c>
      <c r="F191" s="46" t="s">
        <v>506</v>
      </c>
      <c r="G191" s="50" t="s">
        <v>4089</v>
      </c>
      <c r="H191" s="46" t="s">
        <v>4099</v>
      </c>
      <c r="I191" s="60" t="s">
        <v>32</v>
      </c>
      <c r="J191" s="52"/>
      <c r="K191" s="52"/>
      <c r="L191" s="52"/>
      <c r="M191" s="52"/>
      <c r="N191" s="52"/>
      <c r="O191" s="52"/>
      <c r="P191" s="52"/>
      <c r="Q191" s="52"/>
      <c r="R191" s="52"/>
      <c r="S191" s="52"/>
      <c r="T191" s="52"/>
      <c r="U191" s="52"/>
      <c r="V191" s="51"/>
      <c r="W191" s="52"/>
      <c r="X191" s="52"/>
      <c r="Y191" s="52"/>
      <c r="Z191" s="52"/>
    </row>
    <row r="192" spans="1:26" ht="168">
      <c r="A192" s="45" t="s">
        <v>4129</v>
      </c>
      <c r="B192" s="46" t="s">
        <v>4130</v>
      </c>
      <c r="C192" s="140" t="s">
        <v>4134</v>
      </c>
      <c r="D192" s="46" t="s">
        <v>4083</v>
      </c>
      <c r="E192" s="46" t="s">
        <v>4084</v>
      </c>
      <c r="F192" s="46" t="s">
        <v>506</v>
      </c>
      <c r="G192" s="50" t="s">
        <v>4089</v>
      </c>
      <c r="H192" s="46" t="s">
        <v>4099</v>
      </c>
      <c r="I192" s="60" t="s">
        <v>32</v>
      </c>
      <c r="J192" s="52"/>
      <c r="K192" s="52"/>
      <c r="L192" s="52"/>
      <c r="M192" s="52"/>
      <c r="N192" s="52"/>
      <c r="O192" s="52"/>
      <c r="P192" s="52"/>
      <c r="Q192" s="52"/>
      <c r="R192" s="52"/>
      <c r="S192" s="52"/>
      <c r="T192" s="52"/>
      <c r="U192" s="52"/>
      <c r="V192" s="51"/>
      <c r="W192" s="52"/>
      <c r="X192" s="52"/>
      <c r="Y192" s="52"/>
      <c r="Z192" s="52"/>
    </row>
    <row r="193" spans="1:26" ht="126">
      <c r="A193" s="125" t="s">
        <v>4145</v>
      </c>
      <c r="B193" s="72" t="s">
        <v>4146</v>
      </c>
      <c r="C193" s="72" t="s">
        <v>4147</v>
      </c>
      <c r="D193" s="46" t="s">
        <v>4083</v>
      </c>
      <c r="E193" s="46" t="s">
        <v>4084</v>
      </c>
      <c r="F193" s="46" t="s">
        <v>506</v>
      </c>
      <c r="G193" s="50" t="s">
        <v>4089</v>
      </c>
      <c r="H193" s="46" t="s">
        <v>4099</v>
      </c>
      <c r="I193" s="60" t="s">
        <v>470</v>
      </c>
      <c r="J193" s="61"/>
      <c r="K193" s="61"/>
      <c r="L193" s="61"/>
      <c r="M193" s="61"/>
      <c r="N193" s="61"/>
      <c r="O193" s="61"/>
      <c r="P193" s="61"/>
      <c r="Q193" s="61"/>
      <c r="R193" s="61"/>
      <c r="S193" s="61"/>
      <c r="T193" s="61"/>
      <c r="U193" s="61"/>
      <c r="V193" s="61"/>
      <c r="W193" s="61"/>
      <c r="X193" s="61"/>
      <c r="Y193" s="61"/>
      <c r="Z193" s="61"/>
    </row>
    <row r="194" spans="1:26" ht="182">
      <c r="A194" s="125" t="s">
        <v>4166</v>
      </c>
      <c r="B194" s="72" t="s">
        <v>4167</v>
      </c>
      <c r="C194" s="72" t="s">
        <v>4168</v>
      </c>
      <c r="D194" s="46" t="s">
        <v>4083</v>
      </c>
      <c r="E194" s="46" t="s">
        <v>4084</v>
      </c>
      <c r="F194" s="46" t="s">
        <v>506</v>
      </c>
      <c r="G194" s="50" t="s">
        <v>4089</v>
      </c>
      <c r="H194" s="46" t="s">
        <v>4099</v>
      </c>
      <c r="I194" s="60"/>
      <c r="J194" s="61"/>
      <c r="K194" s="61"/>
      <c r="L194" s="61"/>
      <c r="M194" s="61"/>
      <c r="N194" s="61"/>
      <c r="O194" s="61"/>
      <c r="P194" s="61"/>
      <c r="Q194" s="61"/>
      <c r="R194" s="61"/>
      <c r="S194" s="61"/>
      <c r="T194" s="61"/>
      <c r="U194" s="61"/>
      <c r="V194" s="61"/>
      <c r="W194" s="61"/>
      <c r="X194" s="61"/>
      <c r="Y194" s="61"/>
      <c r="Z194" s="61"/>
    </row>
    <row r="195" spans="1:26" ht="14">
      <c r="A195" s="138" t="s">
        <v>4176</v>
      </c>
      <c r="B195" s="77"/>
      <c r="C195" s="72" t="s">
        <v>4177</v>
      </c>
      <c r="D195" s="138" t="s">
        <v>4179</v>
      </c>
      <c r="E195" s="138" t="s">
        <v>2817</v>
      </c>
      <c r="F195" s="138" t="s">
        <v>1958</v>
      </c>
      <c r="G195" s="139"/>
      <c r="H195" s="138" t="s">
        <v>4183</v>
      </c>
      <c r="I195" s="60" t="s">
        <v>296</v>
      </c>
      <c r="J195" s="61"/>
      <c r="K195" s="61"/>
      <c r="L195" s="61"/>
      <c r="M195" s="61"/>
      <c r="N195" s="61"/>
      <c r="O195" s="61"/>
      <c r="P195" s="61"/>
      <c r="Q195" s="61"/>
      <c r="R195" s="61"/>
      <c r="S195" s="61"/>
      <c r="T195" s="61"/>
      <c r="U195" s="61"/>
      <c r="V195" s="61"/>
      <c r="W195" s="61"/>
      <c r="X195" s="61"/>
      <c r="Y195" s="61"/>
      <c r="Z195" s="61"/>
    </row>
    <row r="196" spans="1:26" ht="14">
      <c r="A196" s="138" t="s">
        <v>4188</v>
      </c>
      <c r="B196" s="77"/>
      <c r="C196" s="77"/>
      <c r="D196" s="138" t="s">
        <v>4179</v>
      </c>
      <c r="E196" s="138" t="s">
        <v>2817</v>
      </c>
      <c r="F196" s="138" t="s">
        <v>1958</v>
      </c>
      <c r="G196" s="139"/>
      <c r="H196" s="138" t="s">
        <v>4183</v>
      </c>
      <c r="I196" s="60" t="s">
        <v>296</v>
      </c>
      <c r="J196" s="61"/>
      <c r="K196" s="61"/>
      <c r="L196" s="61"/>
      <c r="M196" s="61"/>
      <c r="N196" s="61"/>
      <c r="O196" s="61"/>
      <c r="P196" s="61"/>
      <c r="Q196" s="61"/>
      <c r="R196" s="61"/>
      <c r="S196" s="61"/>
      <c r="T196" s="61"/>
      <c r="U196" s="61"/>
      <c r="V196" s="61"/>
      <c r="W196" s="61"/>
      <c r="X196" s="61"/>
      <c r="Y196" s="61"/>
      <c r="Z196" s="61"/>
    </row>
    <row r="197" spans="1:26" ht="14">
      <c r="A197" s="138" t="s">
        <v>2364</v>
      </c>
      <c r="B197" s="77"/>
      <c r="C197" s="72"/>
      <c r="D197" s="138" t="s">
        <v>4179</v>
      </c>
      <c r="E197" s="138" t="s">
        <v>2817</v>
      </c>
      <c r="F197" s="138" t="s">
        <v>1958</v>
      </c>
      <c r="G197" s="139"/>
      <c r="H197" s="138" t="s">
        <v>4183</v>
      </c>
      <c r="I197" s="60" t="s">
        <v>32</v>
      </c>
      <c r="J197" s="61"/>
      <c r="K197" s="61"/>
      <c r="L197" s="61"/>
      <c r="M197" s="61"/>
      <c r="N197" s="61"/>
      <c r="O197" s="61"/>
      <c r="P197" s="61"/>
      <c r="Q197" s="61"/>
      <c r="R197" s="61"/>
      <c r="S197" s="61"/>
      <c r="T197" s="61"/>
      <c r="U197" s="61"/>
      <c r="V197" s="61"/>
      <c r="W197" s="61"/>
      <c r="X197" s="61"/>
      <c r="Y197" s="61"/>
      <c r="Z197" s="61"/>
    </row>
    <row r="198" spans="1:26" ht="42">
      <c r="A198" s="138" t="s">
        <v>4202</v>
      </c>
      <c r="B198" s="77"/>
      <c r="C198" s="72" t="s">
        <v>4203</v>
      </c>
      <c r="D198" s="138" t="s">
        <v>4205</v>
      </c>
      <c r="E198" s="138" t="s">
        <v>4207</v>
      </c>
      <c r="F198" s="138" t="s">
        <v>1958</v>
      </c>
      <c r="G198" s="139"/>
      <c r="H198" s="138" t="s">
        <v>4183</v>
      </c>
      <c r="I198" s="60" t="s">
        <v>357</v>
      </c>
      <c r="J198" s="61"/>
      <c r="K198" s="61"/>
      <c r="L198" s="61"/>
      <c r="M198" s="61"/>
      <c r="N198" s="61"/>
      <c r="O198" s="61"/>
      <c r="P198" s="61"/>
      <c r="Q198" s="61"/>
      <c r="R198" s="61"/>
      <c r="S198" s="61"/>
      <c r="T198" s="61"/>
      <c r="U198" s="61"/>
      <c r="V198" s="61"/>
      <c r="W198" s="61"/>
      <c r="X198" s="61"/>
      <c r="Y198" s="61"/>
      <c r="Z198" s="61"/>
    </row>
    <row r="199" spans="1:26" ht="42">
      <c r="A199" s="138" t="s">
        <v>4209</v>
      </c>
      <c r="B199" s="77"/>
      <c r="C199" s="72" t="s">
        <v>4210</v>
      </c>
      <c r="D199" s="138" t="s">
        <v>4205</v>
      </c>
      <c r="E199" s="138" t="s">
        <v>4207</v>
      </c>
      <c r="F199" s="138" t="s">
        <v>1958</v>
      </c>
      <c r="G199" s="139"/>
      <c r="H199" s="138" t="s">
        <v>4183</v>
      </c>
      <c r="I199" s="60" t="s">
        <v>266</v>
      </c>
      <c r="J199" s="61"/>
      <c r="K199" s="61"/>
      <c r="L199" s="61"/>
      <c r="M199" s="61"/>
      <c r="N199" s="61"/>
      <c r="O199" s="61"/>
      <c r="P199" s="61"/>
      <c r="Q199" s="61"/>
      <c r="R199" s="61"/>
      <c r="S199" s="61"/>
      <c r="T199" s="61"/>
      <c r="U199" s="61"/>
      <c r="V199" s="61"/>
      <c r="W199" s="61"/>
      <c r="X199" s="61"/>
      <c r="Y199" s="61"/>
      <c r="Z199" s="61"/>
    </row>
    <row r="200" spans="1:26" ht="154">
      <c r="A200" s="141" t="s">
        <v>307</v>
      </c>
      <c r="B200" s="142" t="s">
        <v>4225</v>
      </c>
      <c r="C200" s="142" t="s">
        <v>4229</v>
      </c>
      <c r="D200" s="142" t="s">
        <v>4231</v>
      </c>
      <c r="E200" s="142" t="s">
        <v>4233</v>
      </c>
      <c r="F200" s="142" t="s">
        <v>46</v>
      </c>
      <c r="G200" s="143" t="s">
        <v>4236</v>
      </c>
      <c r="H200" s="142" t="s">
        <v>4254</v>
      </c>
      <c r="I200" s="60" t="s">
        <v>214</v>
      </c>
      <c r="J200" s="144"/>
      <c r="K200" s="144"/>
      <c r="L200" s="144"/>
      <c r="M200" s="144"/>
      <c r="N200" s="144"/>
      <c r="O200" s="144"/>
      <c r="P200" s="144"/>
      <c r="Q200" s="144"/>
      <c r="R200" s="144"/>
      <c r="S200" s="144"/>
      <c r="T200" s="144"/>
      <c r="U200" s="144"/>
      <c r="V200" s="144"/>
      <c r="W200" s="144"/>
      <c r="X200" s="144"/>
      <c r="Y200" s="144"/>
      <c r="Z200" s="144"/>
    </row>
    <row r="201" spans="1:26" ht="168">
      <c r="A201" s="141" t="s">
        <v>4266</v>
      </c>
      <c r="B201" s="142" t="s">
        <v>4269</v>
      </c>
      <c r="C201" s="142" t="s">
        <v>4273</v>
      </c>
      <c r="D201" s="142" t="s">
        <v>4231</v>
      </c>
      <c r="E201" s="142" t="s">
        <v>4233</v>
      </c>
      <c r="F201" s="142" t="s">
        <v>46</v>
      </c>
      <c r="G201" s="143" t="s">
        <v>4236</v>
      </c>
      <c r="H201" s="142" t="s">
        <v>4254</v>
      </c>
      <c r="I201" s="60" t="s">
        <v>32</v>
      </c>
      <c r="J201" s="144"/>
      <c r="K201" s="144"/>
      <c r="L201" s="144"/>
      <c r="M201" s="144"/>
      <c r="N201" s="144"/>
      <c r="O201" s="144"/>
      <c r="P201" s="144"/>
      <c r="Q201" s="144"/>
      <c r="R201" s="144"/>
      <c r="S201" s="144"/>
      <c r="T201" s="144"/>
      <c r="U201" s="144"/>
      <c r="V201" s="144"/>
      <c r="W201" s="144"/>
      <c r="X201" s="144"/>
      <c r="Y201" s="144"/>
      <c r="Z201" s="144"/>
    </row>
    <row r="202" spans="1:26" ht="252">
      <c r="A202" s="141" t="s">
        <v>4290</v>
      </c>
      <c r="B202" s="142" t="s">
        <v>4291</v>
      </c>
      <c r="C202" s="142" t="s">
        <v>4293</v>
      </c>
      <c r="D202" s="142" t="s">
        <v>4231</v>
      </c>
      <c r="E202" s="142" t="s">
        <v>4233</v>
      </c>
      <c r="F202" s="142" t="s">
        <v>46</v>
      </c>
      <c r="G202" s="143" t="s">
        <v>4236</v>
      </c>
      <c r="H202" s="142" t="s">
        <v>4254</v>
      </c>
      <c r="I202" s="60" t="s">
        <v>32</v>
      </c>
      <c r="J202" s="144"/>
      <c r="K202" s="144"/>
      <c r="L202" s="144"/>
      <c r="M202" s="144"/>
      <c r="N202" s="144"/>
      <c r="O202" s="144"/>
      <c r="P202" s="144"/>
      <c r="Q202" s="144"/>
      <c r="R202" s="144"/>
      <c r="S202" s="144"/>
      <c r="T202" s="144"/>
      <c r="U202" s="144"/>
      <c r="V202" s="144"/>
      <c r="W202" s="144"/>
      <c r="X202" s="144"/>
      <c r="Y202" s="144"/>
      <c r="Z202" s="144"/>
    </row>
    <row r="203" spans="1:26" ht="266">
      <c r="A203" s="141" t="s">
        <v>4309</v>
      </c>
      <c r="B203" s="142" t="s">
        <v>4291</v>
      </c>
      <c r="C203" s="142" t="s">
        <v>4310</v>
      </c>
      <c r="D203" s="142" t="s">
        <v>4231</v>
      </c>
      <c r="E203" s="142" t="s">
        <v>4233</v>
      </c>
      <c r="F203" s="142" t="s">
        <v>46</v>
      </c>
      <c r="G203" s="143" t="s">
        <v>4236</v>
      </c>
      <c r="H203" s="142" t="s">
        <v>4254</v>
      </c>
      <c r="I203" s="60" t="s">
        <v>326</v>
      </c>
      <c r="J203" s="144"/>
      <c r="K203" s="144"/>
      <c r="L203" s="144"/>
      <c r="M203" s="144"/>
      <c r="N203" s="144"/>
      <c r="O203" s="144"/>
      <c r="P203" s="144"/>
      <c r="Q203" s="144"/>
      <c r="R203" s="144"/>
      <c r="S203" s="144"/>
      <c r="T203" s="144"/>
      <c r="U203" s="144"/>
      <c r="V203" s="144"/>
      <c r="W203" s="144"/>
      <c r="X203" s="144"/>
      <c r="Y203" s="144"/>
      <c r="Z203" s="144"/>
    </row>
    <row r="204" spans="1:26" ht="112">
      <c r="A204" s="145" t="s">
        <v>4323</v>
      </c>
      <c r="B204" s="142" t="s">
        <v>4325</v>
      </c>
      <c r="C204" s="142" t="s">
        <v>4327</v>
      </c>
      <c r="D204" s="142" t="s">
        <v>4231</v>
      </c>
      <c r="E204" s="142" t="s">
        <v>4233</v>
      </c>
      <c r="F204" s="142" t="s">
        <v>46</v>
      </c>
      <c r="G204" s="143" t="s">
        <v>4236</v>
      </c>
      <c r="H204" s="142" t="s">
        <v>4254</v>
      </c>
      <c r="I204" s="146" t="s">
        <v>394</v>
      </c>
      <c r="J204" s="144"/>
      <c r="K204" s="144"/>
      <c r="L204" s="144"/>
      <c r="M204" s="144"/>
      <c r="N204" s="144"/>
      <c r="O204" s="144"/>
      <c r="P204" s="144"/>
      <c r="Q204" s="144"/>
      <c r="R204" s="144"/>
      <c r="S204" s="144"/>
      <c r="T204" s="144"/>
      <c r="U204" s="144"/>
      <c r="V204" s="144"/>
      <c r="W204" s="144"/>
      <c r="X204" s="144"/>
      <c r="Y204" s="144"/>
      <c r="Z204" s="144"/>
    </row>
    <row r="205" spans="1:26" ht="112">
      <c r="A205" s="45" t="s">
        <v>234</v>
      </c>
      <c r="B205" s="46" t="s">
        <v>4343</v>
      </c>
      <c r="C205" s="46" t="s">
        <v>4344</v>
      </c>
      <c r="D205" s="46" t="s">
        <v>1354</v>
      </c>
      <c r="E205" s="46" t="s">
        <v>3449</v>
      </c>
      <c r="F205" s="46" t="s">
        <v>1958</v>
      </c>
      <c r="G205" s="36"/>
      <c r="H205" s="46" t="s">
        <v>4348</v>
      </c>
      <c r="I205" s="51" t="s">
        <v>161</v>
      </c>
      <c r="J205" s="52"/>
      <c r="K205" s="52"/>
      <c r="L205" s="52"/>
      <c r="M205" s="52"/>
      <c r="N205" s="52"/>
      <c r="O205" s="52"/>
      <c r="P205" s="52"/>
      <c r="Q205" s="52"/>
      <c r="R205" s="52"/>
      <c r="S205" s="52"/>
      <c r="T205" s="52"/>
      <c r="U205" s="52"/>
      <c r="V205" s="52"/>
      <c r="W205" s="52"/>
      <c r="X205" s="52"/>
      <c r="Y205" s="52"/>
      <c r="Z205" s="52"/>
    </row>
    <row r="206" spans="1:26" ht="98">
      <c r="A206" s="45" t="s">
        <v>4350</v>
      </c>
      <c r="B206" s="46" t="s">
        <v>4353</v>
      </c>
      <c r="C206" s="46" t="s">
        <v>4354</v>
      </c>
      <c r="D206" s="46" t="s">
        <v>1354</v>
      </c>
      <c r="E206" s="46" t="s">
        <v>3449</v>
      </c>
      <c r="F206" s="46" t="s">
        <v>1958</v>
      </c>
      <c r="G206" s="36"/>
      <c r="H206" s="46" t="s">
        <v>4356</v>
      </c>
      <c r="I206" s="60" t="s">
        <v>32</v>
      </c>
      <c r="J206" s="52"/>
      <c r="K206" s="52"/>
      <c r="L206" s="52"/>
      <c r="M206" s="52"/>
      <c r="N206" s="52"/>
      <c r="O206" s="52"/>
      <c r="P206" s="52"/>
      <c r="Q206" s="52"/>
      <c r="R206" s="52"/>
      <c r="S206" s="52"/>
      <c r="T206" s="52"/>
      <c r="U206" s="52"/>
      <c r="V206" s="52"/>
      <c r="W206" s="52"/>
      <c r="X206" s="52"/>
      <c r="Y206" s="52"/>
      <c r="Z206" s="52"/>
    </row>
    <row r="207" spans="1:26" ht="84">
      <c r="A207" s="45" t="s">
        <v>4232</v>
      </c>
      <c r="B207" s="46" t="s">
        <v>4353</v>
      </c>
      <c r="C207" s="46" t="s">
        <v>4359</v>
      </c>
      <c r="D207" s="46" t="s">
        <v>1354</v>
      </c>
      <c r="E207" s="46" t="s">
        <v>3449</v>
      </c>
      <c r="F207" s="46" t="s">
        <v>1958</v>
      </c>
      <c r="G207" s="36"/>
      <c r="H207" s="46" t="s">
        <v>4356</v>
      </c>
      <c r="I207" s="60" t="s">
        <v>32</v>
      </c>
      <c r="J207" s="52"/>
      <c r="K207" s="52"/>
      <c r="L207" s="52"/>
      <c r="M207" s="52"/>
      <c r="N207" s="52"/>
      <c r="O207" s="52"/>
      <c r="P207" s="52"/>
      <c r="Q207" s="52"/>
      <c r="R207" s="52"/>
      <c r="S207" s="52"/>
      <c r="T207" s="52"/>
      <c r="U207" s="52"/>
      <c r="V207" s="52"/>
      <c r="W207" s="52"/>
      <c r="X207" s="52"/>
      <c r="Y207" s="52"/>
      <c r="Z207" s="52"/>
    </row>
    <row r="208" spans="1:26" ht="112">
      <c r="A208" s="45" t="s">
        <v>798</v>
      </c>
      <c r="B208" s="46" t="s">
        <v>4365</v>
      </c>
      <c r="C208" s="46" t="s">
        <v>4366</v>
      </c>
      <c r="D208" s="46" t="s">
        <v>1354</v>
      </c>
      <c r="E208" s="46" t="s">
        <v>3449</v>
      </c>
      <c r="F208" s="46" t="s">
        <v>1958</v>
      </c>
      <c r="G208" s="36"/>
      <c r="H208" s="46" t="s">
        <v>4356</v>
      </c>
      <c r="I208" s="60" t="s">
        <v>32</v>
      </c>
      <c r="J208" s="52"/>
      <c r="K208" s="52"/>
      <c r="L208" s="52"/>
      <c r="M208" s="52"/>
      <c r="N208" s="52"/>
      <c r="O208" s="52"/>
      <c r="P208" s="52"/>
      <c r="Q208" s="52"/>
      <c r="R208" s="52"/>
      <c r="S208" s="52"/>
      <c r="T208" s="52"/>
      <c r="U208" s="52"/>
      <c r="V208" s="52"/>
      <c r="W208" s="52"/>
      <c r="X208" s="52"/>
      <c r="Y208" s="52"/>
      <c r="Z208" s="52"/>
    </row>
    <row r="209" spans="1:26" ht="126">
      <c r="A209" s="45" t="s">
        <v>4373</v>
      </c>
      <c r="B209" s="72" t="s">
        <v>4374</v>
      </c>
      <c r="C209" s="72" t="s">
        <v>4375</v>
      </c>
      <c r="D209" s="46" t="s">
        <v>1354</v>
      </c>
      <c r="E209" s="46" t="s">
        <v>3449</v>
      </c>
      <c r="F209" s="46" t="s">
        <v>1958</v>
      </c>
      <c r="G209" s="111"/>
      <c r="H209" s="46" t="s">
        <v>4356</v>
      </c>
      <c r="I209" s="60" t="s">
        <v>63</v>
      </c>
      <c r="J209" s="61"/>
      <c r="K209" s="61"/>
      <c r="L209" s="61"/>
      <c r="M209" s="61"/>
      <c r="N209" s="61"/>
      <c r="O209" s="61"/>
      <c r="P209" s="61"/>
      <c r="Q209" s="61"/>
      <c r="R209" s="61"/>
      <c r="S209" s="61"/>
      <c r="T209" s="61"/>
      <c r="U209" s="61"/>
      <c r="V209" s="61"/>
      <c r="W209" s="61"/>
      <c r="X209" s="61"/>
      <c r="Y209" s="61"/>
      <c r="Z209" s="61"/>
    </row>
    <row r="210" spans="1:26" ht="78.75" customHeight="1">
      <c r="A210" s="45" t="s">
        <v>4380</v>
      </c>
      <c r="B210" s="147" t="s">
        <v>4381</v>
      </c>
      <c r="C210" s="72" t="s">
        <v>4384</v>
      </c>
      <c r="D210" s="72" t="s">
        <v>4385</v>
      </c>
      <c r="E210" s="72" t="s">
        <v>4387</v>
      </c>
      <c r="F210" s="72" t="s">
        <v>1958</v>
      </c>
      <c r="G210" s="112" t="s">
        <v>4391</v>
      </c>
      <c r="H210" s="72" t="s">
        <v>4402</v>
      </c>
      <c r="I210" s="60" t="s">
        <v>32</v>
      </c>
      <c r="J210" s="61"/>
      <c r="K210" s="61"/>
      <c r="L210" s="61"/>
      <c r="M210" s="61"/>
      <c r="N210" s="61"/>
      <c r="O210" s="61"/>
      <c r="P210" s="61"/>
      <c r="Q210" s="61"/>
      <c r="R210" s="61"/>
      <c r="S210" s="61"/>
      <c r="T210" s="61"/>
      <c r="U210" s="61"/>
      <c r="V210" s="61"/>
      <c r="W210" s="61"/>
      <c r="X210" s="61"/>
      <c r="Y210" s="61"/>
      <c r="Z210" s="61"/>
    </row>
    <row r="211" spans="1:26" ht="168">
      <c r="A211" s="113" t="s">
        <v>4408</v>
      </c>
      <c r="B211" s="72" t="s">
        <v>4409</v>
      </c>
      <c r="C211" s="72" t="s">
        <v>4411</v>
      </c>
      <c r="D211" s="72" t="s">
        <v>4385</v>
      </c>
      <c r="E211" s="72" t="s">
        <v>4387</v>
      </c>
      <c r="F211" s="72" t="s">
        <v>1958</v>
      </c>
      <c r="G211" s="112" t="s">
        <v>4413</v>
      </c>
      <c r="H211" s="72" t="s">
        <v>4402</v>
      </c>
      <c r="I211" s="60" t="s">
        <v>32</v>
      </c>
      <c r="J211" s="61"/>
      <c r="K211" s="61"/>
      <c r="L211" s="61"/>
      <c r="M211" s="61"/>
      <c r="N211" s="61"/>
      <c r="O211" s="61"/>
      <c r="P211" s="61"/>
      <c r="Q211" s="61"/>
      <c r="R211" s="61"/>
      <c r="S211" s="61"/>
      <c r="T211" s="61"/>
      <c r="U211" s="61"/>
      <c r="V211" s="61"/>
      <c r="W211" s="61"/>
      <c r="X211" s="61"/>
      <c r="Y211" s="61"/>
      <c r="Z211" s="61"/>
    </row>
    <row r="212" spans="1:26" ht="14">
      <c r="A212" s="72" t="s">
        <v>4432</v>
      </c>
      <c r="B212" s="77"/>
      <c r="C212" s="77"/>
      <c r="D212" s="77"/>
      <c r="E212" s="77"/>
      <c r="F212" s="77"/>
      <c r="G212" s="111"/>
      <c r="H212" s="77"/>
      <c r="I212" s="60" t="s">
        <v>214</v>
      </c>
      <c r="J212" s="61"/>
      <c r="K212" s="61"/>
      <c r="L212" s="61"/>
      <c r="M212" s="61"/>
      <c r="N212" s="61"/>
      <c r="O212" s="61"/>
      <c r="P212" s="61"/>
      <c r="Q212" s="61"/>
      <c r="R212" s="61"/>
      <c r="S212" s="61"/>
      <c r="T212" s="61"/>
      <c r="U212" s="61"/>
      <c r="V212" s="61"/>
      <c r="W212" s="61"/>
      <c r="X212" s="61"/>
      <c r="Y212" s="61"/>
      <c r="Z212" s="61"/>
    </row>
    <row r="213" spans="1:26" ht="42">
      <c r="A213" s="72" t="s">
        <v>4441</v>
      </c>
      <c r="B213" s="72" t="s">
        <v>4442</v>
      </c>
      <c r="C213" s="72" t="s">
        <v>4443</v>
      </c>
      <c r="D213" s="72" t="s">
        <v>4444</v>
      </c>
      <c r="E213" s="72" t="s">
        <v>4445</v>
      </c>
      <c r="F213" s="72" t="s">
        <v>506</v>
      </c>
      <c r="G213" s="148" t="s">
        <v>4446</v>
      </c>
      <c r="H213" s="77"/>
      <c r="I213" s="60" t="s">
        <v>63</v>
      </c>
      <c r="J213" s="61"/>
      <c r="K213" s="61"/>
      <c r="L213" s="61"/>
      <c r="M213" s="61"/>
      <c r="N213" s="61"/>
      <c r="O213" s="61"/>
      <c r="P213" s="61"/>
      <c r="Q213" s="61"/>
      <c r="R213" s="61"/>
      <c r="S213" s="61"/>
      <c r="T213" s="61"/>
      <c r="U213" s="61"/>
      <c r="V213" s="61"/>
      <c r="W213" s="61"/>
      <c r="X213" s="61"/>
      <c r="Y213" s="61"/>
      <c r="Z213" s="61"/>
    </row>
    <row r="214" spans="1:26" ht="28">
      <c r="A214" s="72" t="s">
        <v>4455</v>
      </c>
      <c r="B214" s="72" t="s">
        <v>4456</v>
      </c>
      <c r="C214" s="72" t="s">
        <v>4458</v>
      </c>
      <c r="D214" s="72" t="s">
        <v>4444</v>
      </c>
      <c r="E214" s="72" t="s">
        <v>4445</v>
      </c>
      <c r="F214" s="72" t="s">
        <v>506</v>
      </c>
      <c r="G214" s="148" t="s">
        <v>4446</v>
      </c>
      <c r="H214" s="77"/>
      <c r="I214" s="60" t="s">
        <v>161</v>
      </c>
      <c r="J214" s="61"/>
      <c r="K214" s="61"/>
      <c r="L214" s="61"/>
      <c r="M214" s="61"/>
      <c r="N214" s="61"/>
      <c r="O214" s="61"/>
      <c r="P214" s="61"/>
      <c r="Q214" s="61"/>
      <c r="R214" s="61"/>
      <c r="S214" s="61"/>
      <c r="T214" s="61"/>
      <c r="U214" s="61"/>
      <c r="V214" s="61"/>
      <c r="W214" s="61"/>
      <c r="X214" s="61"/>
      <c r="Y214" s="61"/>
      <c r="Z214" s="61"/>
    </row>
    <row r="215" spans="1:26" ht="42">
      <c r="A215" s="72" t="s">
        <v>4462</v>
      </c>
      <c r="B215" s="72" t="s">
        <v>4463</v>
      </c>
      <c r="C215" s="72" t="s">
        <v>4464</v>
      </c>
      <c r="D215" s="72" t="s">
        <v>4444</v>
      </c>
      <c r="E215" s="72" t="s">
        <v>4445</v>
      </c>
      <c r="F215" s="72" t="s">
        <v>506</v>
      </c>
      <c r="G215" s="148" t="s">
        <v>4446</v>
      </c>
      <c r="H215" s="77"/>
      <c r="I215" s="60" t="s">
        <v>161</v>
      </c>
      <c r="J215" s="61"/>
      <c r="K215" s="61"/>
      <c r="L215" s="61"/>
      <c r="M215" s="61"/>
      <c r="N215" s="61"/>
      <c r="O215" s="61"/>
      <c r="P215" s="61"/>
      <c r="Q215" s="61"/>
      <c r="R215" s="61"/>
      <c r="S215" s="61"/>
      <c r="T215" s="61"/>
      <c r="U215" s="61"/>
      <c r="V215" s="61"/>
      <c r="W215" s="61"/>
      <c r="X215" s="61"/>
      <c r="Y215" s="61"/>
      <c r="Z215" s="61"/>
    </row>
    <row r="216" spans="1:26" ht="42">
      <c r="A216" s="72" t="s">
        <v>4473</v>
      </c>
      <c r="B216" s="72" t="s">
        <v>4475</v>
      </c>
      <c r="C216" s="72" t="s">
        <v>4476</v>
      </c>
      <c r="D216" s="72" t="s">
        <v>4444</v>
      </c>
      <c r="E216" s="72" t="s">
        <v>4445</v>
      </c>
      <c r="F216" s="72" t="s">
        <v>506</v>
      </c>
      <c r="G216" s="148" t="s">
        <v>4446</v>
      </c>
      <c r="H216" s="77"/>
      <c r="I216" s="60" t="s">
        <v>63</v>
      </c>
      <c r="J216" s="61"/>
      <c r="K216" s="61"/>
      <c r="L216" s="61"/>
      <c r="M216" s="61"/>
      <c r="N216" s="61"/>
      <c r="O216" s="61"/>
      <c r="P216" s="61"/>
      <c r="Q216" s="61"/>
      <c r="R216" s="61"/>
      <c r="S216" s="61"/>
      <c r="T216" s="61"/>
      <c r="U216" s="61"/>
      <c r="V216" s="61"/>
      <c r="W216" s="61"/>
      <c r="X216" s="61"/>
      <c r="Y216" s="61"/>
      <c r="Z216" s="61"/>
    </row>
    <row r="217" spans="1:26" ht="182">
      <c r="A217" s="72" t="s">
        <v>4481</v>
      </c>
      <c r="B217" s="72" t="s">
        <v>4482</v>
      </c>
      <c r="C217" s="72" t="s">
        <v>4484</v>
      </c>
      <c r="D217" s="72" t="s">
        <v>4486</v>
      </c>
      <c r="E217" s="72" t="s">
        <v>4487</v>
      </c>
      <c r="F217" s="72" t="s">
        <v>506</v>
      </c>
      <c r="G217" s="112" t="s">
        <v>4489</v>
      </c>
      <c r="H217" s="72" t="s">
        <v>4494</v>
      </c>
      <c r="I217" s="60" t="s">
        <v>326</v>
      </c>
      <c r="J217" s="61"/>
      <c r="K217" s="61"/>
      <c r="L217" s="61"/>
      <c r="M217" s="61"/>
      <c r="N217" s="61"/>
      <c r="O217" s="61"/>
      <c r="P217" s="61"/>
      <c r="Q217" s="61"/>
      <c r="R217" s="61"/>
      <c r="S217" s="61"/>
      <c r="T217" s="61"/>
      <c r="U217" s="61"/>
      <c r="V217" s="61"/>
      <c r="W217" s="61"/>
      <c r="X217" s="61"/>
      <c r="Y217" s="61"/>
      <c r="Z217" s="61"/>
    </row>
    <row r="218" spans="1:26" ht="224">
      <c r="A218" s="72" t="s">
        <v>4501</v>
      </c>
      <c r="B218" s="72" t="s">
        <v>4502</v>
      </c>
      <c r="C218" s="72" t="s">
        <v>4503</v>
      </c>
      <c r="D218" s="72" t="s">
        <v>4486</v>
      </c>
      <c r="E218" s="72" t="s">
        <v>4487</v>
      </c>
      <c r="F218" s="72" t="s">
        <v>506</v>
      </c>
      <c r="G218" s="112" t="s">
        <v>4489</v>
      </c>
      <c r="H218" s="72" t="s">
        <v>4494</v>
      </c>
      <c r="I218" s="60" t="s">
        <v>32</v>
      </c>
      <c r="J218" s="61"/>
      <c r="K218" s="61"/>
      <c r="L218" s="61"/>
      <c r="M218" s="61"/>
      <c r="N218" s="61"/>
      <c r="O218" s="61"/>
      <c r="P218" s="61"/>
      <c r="Q218" s="61"/>
      <c r="R218" s="61"/>
      <c r="S218" s="61"/>
      <c r="T218" s="61"/>
      <c r="U218" s="61"/>
      <c r="V218" s="61"/>
      <c r="W218" s="61"/>
      <c r="X218" s="61"/>
      <c r="Y218" s="61"/>
      <c r="Z218" s="61"/>
    </row>
    <row r="219" spans="1:26" ht="280">
      <c r="A219" s="72" t="s">
        <v>2632</v>
      </c>
      <c r="B219" s="72" t="s">
        <v>4509</v>
      </c>
      <c r="C219" s="72" t="s">
        <v>4510</v>
      </c>
      <c r="D219" s="72" t="s">
        <v>4486</v>
      </c>
      <c r="E219" s="72" t="s">
        <v>4487</v>
      </c>
      <c r="F219" s="72" t="s">
        <v>4511</v>
      </c>
      <c r="G219" s="112" t="s">
        <v>4489</v>
      </c>
      <c r="H219" s="72" t="s">
        <v>4494</v>
      </c>
      <c r="I219" s="60" t="s">
        <v>32</v>
      </c>
      <c r="J219" s="61"/>
      <c r="K219" s="61"/>
      <c r="L219" s="61"/>
      <c r="M219" s="61"/>
      <c r="N219" s="61"/>
      <c r="O219" s="61"/>
      <c r="P219" s="61"/>
      <c r="Q219" s="61"/>
      <c r="R219" s="61"/>
      <c r="S219" s="61"/>
      <c r="T219" s="61"/>
      <c r="U219" s="61"/>
      <c r="V219" s="61"/>
      <c r="W219" s="61"/>
      <c r="X219" s="61"/>
      <c r="Y219" s="61"/>
      <c r="Z219" s="61"/>
    </row>
    <row r="220" spans="1:26" ht="154">
      <c r="A220" s="72" t="s">
        <v>3399</v>
      </c>
      <c r="B220" s="72" t="s">
        <v>4521</v>
      </c>
      <c r="C220" s="72" t="s">
        <v>4524</v>
      </c>
      <c r="D220" s="72" t="s">
        <v>4486</v>
      </c>
      <c r="E220" s="72" t="s">
        <v>4487</v>
      </c>
      <c r="F220" s="72" t="s">
        <v>506</v>
      </c>
      <c r="G220" s="112" t="s">
        <v>4489</v>
      </c>
      <c r="H220" s="72" t="s">
        <v>4494</v>
      </c>
      <c r="I220" s="60" t="s">
        <v>409</v>
      </c>
      <c r="J220" s="61"/>
      <c r="K220" s="61"/>
      <c r="L220" s="61"/>
      <c r="M220" s="61"/>
      <c r="N220" s="61"/>
      <c r="O220" s="61"/>
      <c r="P220" s="61"/>
      <c r="Q220" s="61"/>
      <c r="R220" s="61"/>
      <c r="S220" s="61"/>
      <c r="T220" s="61"/>
      <c r="U220" s="61"/>
      <c r="V220" s="61"/>
      <c r="W220" s="61"/>
      <c r="X220" s="61"/>
      <c r="Y220" s="61"/>
      <c r="Z220" s="61"/>
    </row>
    <row r="221" spans="1:26" ht="280">
      <c r="A221" s="72" t="s">
        <v>4533</v>
      </c>
      <c r="B221" s="72" t="s">
        <v>4534</v>
      </c>
      <c r="C221" s="72" t="s">
        <v>4536</v>
      </c>
      <c r="D221" s="72" t="s">
        <v>4486</v>
      </c>
      <c r="E221" s="72" t="s">
        <v>4487</v>
      </c>
      <c r="F221" s="72" t="s">
        <v>506</v>
      </c>
      <c r="G221" s="112" t="s">
        <v>4489</v>
      </c>
      <c r="H221" s="72" t="s">
        <v>4494</v>
      </c>
      <c r="I221" s="60" t="s">
        <v>32</v>
      </c>
      <c r="J221" s="61"/>
      <c r="K221" s="61"/>
      <c r="L221" s="61"/>
      <c r="M221" s="61"/>
      <c r="N221" s="61"/>
      <c r="O221" s="61"/>
      <c r="P221" s="61"/>
      <c r="Q221" s="61"/>
      <c r="R221" s="61"/>
      <c r="S221" s="61"/>
      <c r="T221" s="61"/>
      <c r="U221" s="61"/>
      <c r="V221" s="61"/>
      <c r="W221" s="61"/>
      <c r="X221" s="61"/>
      <c r="Y221" s="61"/>
      <c r="Z221" s="61"/>
    </row>
    <row r="222" spans="1:26" ht="238">
      <c r="A222" s="72" t="s">
        <v>3073</v>
      </c>
      <c r="B222" s="72" t="s">
        <v>4547</v>
      </c>
      <c r="C222" s="72" t="s">
        <v>4548</v>
      </c>
      <c r="D222" s="72" t="s">
        <v>4486</v>
      </c>
      <c r="E222" s="72" t="s">
        <v>4487</v>
      </c>
      <c r="F222" s="72" t="s">
        <v>506</v>
      </c>
      <c r="G222" s="112" t="s">
        <v>4489</v>
      </c>
      <c r="H222" s="72" t="s">
        <v>4494</v>
      </c>
      <c r="I222" s="60" t="s">
        <v>32</v>
      </c>
      <c r="J222" s="61"/>
      <c r="K222" s="61"/>
      <c r="L222" s="61"/>
      <c r="M222" s="61"/>
      <c r="N222" s="61"/>
      <c r="O222" s="61"/>
      <c r="P222" s="61"/>
      <c r="Q222" s="61"/>
      <c r="R222" s="61"/>
      <c r="S222" s="61"/>
      <c r="T222" s="61"/>
      <c r="U222" s="61"/>
      <c r="V222" s="61"/>
      <c r="W222" s="61"/>
      <c r="X222" s="61"/>
      <c r="Y222" s="61"/>
      <c r="Z222" s="61"/>
    </row>
    <row r="223" spans="1:26" ht="56">
      <c r="A223" s="149" t="s">
        <v>4556</v>
      </c>
      <c r="B223" s="150" t="s">
        <v>4557</v>
      </c>
      <c r="C223" s="151" t="s">
        <v>4563</v>
      </c>
      <c r="D223" s="152" t="s">
        <v>4567</v>
      </c>
      <c r="E223" s="151" t="s">
        <v>4573</v>
      </c>
      <c r="F223" s="151" t="s">
        <v>33</v>
      </c>
      <c r="G223" s="153" t="s">
        <v>4574</v>
      </c>
      <c r="H223" s="154" t="s">
        <v>4580</v>
      </c>
      <c r="I223" s="60" t="s">
        <v>32</v>
      </c>
      <c r="J223" s="61"/>
      <c r="K223" s="61"/>
      <c r="L223" s="61"/>
      <c r="M223" s="61"/>
      <c r="N223" s="61"/>
      <c r="O223" s="61"/>
      <c r="P223" s="61"/>
      <c r="Q223" s="61"/>
      <c r="R223" s="61"/>
      <c r="S223" s="61"/>
      <c r="T223" s="61"/>
      <c r="U223" s="61"/>
      <c r="V223" s="61"/>
      <c r="W223" s="61"/>
      <c r="X223" s="61"/>
      <c r="Y223" s="61"/>
      <c r="Z223" s="61"/>
    </row>
    <row r="224" spans="1:26" ht="98">
      <c r="A224" s="155" t="s">
        <v>4587</v>
      </c>
      <c r="B224" s="151" t="s">
        <v>4588</v>
      </c>
      <c r="C224" s="151" t="s">
        <v>4589</v>
      </c>
      <c r="D224" s="152" t="s">
        <v>4567</v>
      </c>
      <c r="E224" s="151" t="s">
        <v>4573</v>
      </c>
      <c r="F224" s="151" t="s">
        <v>33</v>
      </c>
      <c r="G224" s="153" t="s">
        <v>4574</v>
      </c>
      <c r="H224" s="154" t="s">
        <v>4580</v>
      </c>
      <c r="I224" s="60" t="s">
        <v>32</v>
      </c>
      <c r="J224" s="61"/>
      <c r="K224" s="61"/>
      <c r="L224" s="61"/>
      <c r="M224" s="61"/>
      <c r="N224" s="61"/>
      <c r="O224" s="61"/>
      <c r="P224" s="61"/>
      <c r="Q224" s="61"/>
      <c r="R224" s="61"/>
      <c r="S224" s="61"/>
      <c r="T224" s="61"/>
      <c r="U224" s="61"/>
      <c r="V224" s="61"/>
      <c r="W224" s="61"/>
      <c r="X224" s="61"/>
      <c r="Y224" s="61"/>
      <c r="Z224" s="61"/>
    </row>
    <row r="225" spans="1:26" ht="168">
      <c r="A225" s="155" t="s">
        <v>4604</v>
      </c>
      <c r="B225" s="151" t="s">
        <v>4605</v>
      </c>
      <c r="C225" s="151" t="s">
        <v>4606</v>
      </c>
      <c r="D225" s="152" t="s">
        <v>4567</v>
      </c>
      <c r="E225" s="151" t="s">
        <v>4573</v>
      </c>
      <c r="F225" s="151" t="s">
        <v>33</v>
      </c>
      <c r="G225" s="153" t="s">
        <v>4574</v>
      </c>
      <c r="H225" s="154" t="s">
        <v>4580</v>
      </c>
      <c r="I225" s="60" t="s">
        <v>32</v>
      </c>
      <c r="J225" s="61"/>
      <c r="K225" s="61"/>
      <c r="L225" s="61"/>
      <c r="M225" s="61"/>
      <c r="N225" s="61"/>
      <c r="O225" s="61"/>
      <c r="P225" s="61"/>
      <c r="Q225" s="61"/>
      <c r="R225" s="61"/>
      <c r="S225" s="61"/>
      <c r="T225" s="61"/>
      <c r="U225" s="61"/>
      <c r="V225" s="61"/>
      <c r="W225" s="61"/>
      <c r="X225" s="61"/>
      <c r="Y225" s="61"/>
      <c r="Z225" s="61"/>
    </row>
    <row r="226" spans="1:26" ht="84">
      <c r="A226" s="155" t="s">
        <v>4618</v>
      </c>
      <c r="B226" s="151" t="s">
        <v>4619</v>
      </c>
      <c r="C226" s="151" t="s">
        <v>4620</v>
      </c>
      <c r="D226" s="152" t="s">
        <v>4567</v>
      </c>
      <c r="E226" s="151" t="s">
        <v>4573</v>
      </c>
      <c r="F226" s="151" t="s">
        <v>33</v>
      </c>
      <c r="G226" s="153" t="s">
        <v>4574</v>
      </c>
      <c r="H226" s="154" t="s">
        <v>4580</v>
      </c>
      <c r="I226" s="60" t="s">
        <v>32</v>
      </c>
      <c r="J226" s="61"/>
      <c r="K226" s="61"/>
      <c r="L226" s="61"/>
      <c r="M226" s="61"/>
      <c r="N226" s="61"/>
      <c r="O226" s="61"/>
      <c r="P226" s="61"/>
      <c r="Q226" s="61"/>
      <c r="R226" s="61"/>
      <c r="S226" s="61"/>
      <c r="T226" s="61"/>
      <c r="U226" s="61"/>
      <c r="V226" s="61"/>
      <c r="W226" s="61"/>
      <c r="X226" s="61"/>
      <c r="Y226" s="61"/>
      <c r="Z226" s="61"/>
    </row>
    <row r="227" spans="1:26" ht="70">
      <c r="A227" s="149" t="s">
        <v>4632</v>
      </c>
      <c r="B227" s="151" t="s">
        <v>4634</v>
      </c>
      <c r="C227" s="151" t="s">
        <v>4636</v>
      </c>
      <c r="D227" s="152" t="s">
        <v>4567</v>
      </c>
      <c r="E227" s="151" t="s">
        <v>4573</v>
      </c>
      <c r="F227" s="151" t="s">
        <v>33</v>
      </c>
      <c r="G227" s="153" t="s">
        <v>4574</v>
      </c>
      <c r="H227" s="154" t="s">
        <v>4580</v>
      </c>
      <c r="I227" s="60" t="s">
        <v>326</v>
      </c>
      <c r="J227" s="61"/>
      <c r="K227" s="61"/>
      <c r="L227" s="61"/>
      <c r="M227" s="61"/>
      <c r="N227" s="61"/>
      <c r="O227" s="61"/>
      <c r="P227" s="61"/>
      <c r="Q227" s="61"/>
      <c r="R227" s="61"/>
      <c r="S227" s="61"/>
      <c r="T227" s="61"/>
      <c r="U227" s="61"/>
      <c r="V227" s="61"/>
      <c r="W227" s="61"/>
      <c r="X227" s="61"/>
      <c r="Y227" s="61"/>
      <c r="Z227" s="61"/>
    </row>
    <row r="228" spans="1:26" ht="154">
      <c r="A228" s="125" t="s">
        <v>4647</v>
      </c>
      <c r="B228" s="72" t="s">
        <v>4648</v>
      </c>
      <c r="C228" s="72" t="s">
        <v>4650</v>
      </c>
      <c r="D228" s="72" t="s">
        <v>4652</v>
      </c>
      <c r="E228" s="72" t="s">
        <v>4654</v>
      </c>
      <c r="F228" s="72" t="s">
        <v>506</v>
      </c>
      <c r="G228" s="156" t="s">
        <v>4656</v>
      </c>
      <c r="H228" s="72" t="s">
        <v>4668</v>
      </c>
      <c r="I228" s="60" t="s">
        <v>326</v>
      </c>
      <c r="J228" s="61"/>
      <c r="K228" s="61"/>
      <c r="L228" s="61"/>
      <c r="M228" s="61"/>
      <c r="N228" s="61"/>
      <c r="O228" s="61"/>
      <c r="P228" s="61"/>
      <c r="Q228" s="61"/>
      <c r="R228" s="61"/>
      <c r="S228" s="61"/>
      <c r="T228" s="61"/>
      <c r="U228" s="61"/>
      <c r="V228" s="61"/>
      <c r="W228" s="61"/>
      <c r="X228" s="61"/>
      <c r="Y228" s="61"/>
      <c r="Z228" s="61"/>
    </row>
    <row r="229" spans="1:26" ht="126">
      <c r="A229" s="72" t="s">
        <v>4675</v>
      </c>
      <c r="B229" s="72" t="s">
        <v>4676</v>
      </c>
      <c r="C229" s="72" t="s">
        <v>4677</v>
      </c>
      <c r="D229" s="72" t="s">
        <v>4652</v>
      </c>
      <c r="E229" s="72" t="s">
        <v>4654</v>
      </c>
      <c r="F229" s="72" t="s">
        <v>506</v>
      </c>
      <c r="G229" s="112" t="s">
        <v>4678</v>
      </c>
      <c r="H229" s="72" t="s">
        <v>4668</v>
      </c>
      <c r="I229" s="60" t="s">
        <v>32</v>
      </c>
      <c r="J229" s="77"/>
      <c r="K229" s="77"/>
      <c r="L229" s="77"/>
      <c r="M229" s="77"/>
      <c r="N229" s="77"/>
      <c r="O229" s="77"/>
      <c r="P229" s="77"/>
      <c r="Q229" s="77"/>
      <c r="R229" s="77"/>
      <c r="S229" s="77"/>
      <c r="T229" s="77"/>
      <c r="U229" s="77"/>
      <c r="V229" s="77"/>
      <c r="W229" s="77"/>
      <c r="X229" s="77"/>
      <c r="Y229" s="77"/>
      <c r="Z229" s="77"/>
    </row>
    <row r="230" spans="1:26" ht="182">
      <c r="A230" s="72" t="s">
        <v>4683</v>
      </c>
      <c r="B230" s="157" t="s">
        <v>4685</v>
      </c>
      <c r="C230" s="72" t="s">
        <v>4690</v>
      </c>
      <c r="D230" s="158" t="str">
        <f t="shared" ref="D230:D234" si="1">HYPERLINK("www.inmagine.com","INMAGINE")</f>
        <v>INMAGINE</v>
      </c>
      <c r="E230" s="72" t="s">
        <v>4698</v>
      </c>
      <c r="F230" s="72" t="s">
        <v>4699</v>
      </c>
      <c r="G230" s="112" t="s">
        <v>4701</v>
      </c>
      <c r="H230" s="157" t="s">
        <v>4712</v>
      </c>
      <c r="I230" s="60" t="s">
        <v>32</v>
      </c>
      <c r="J230" s="61"/>
      <c r="K230" s="61"/>
      <c r="L230" s="61"/>
      <c r="M230" s="61"/>
      <c r="N230" s="61"/>
      <c r="O230" s="61"/>
      <c r="P230" s="61"/>
      <c r="Q230" s="61"/>
      <c r="R230" s="61"/>
      <c r="S230" s="61"/>
      <c r="T230" s="61"/>
      <c r="U230" s="61"/>
      <c r="V230" s="61"/>
      <c r="W230" s="61"/>
      <c r="X230" s="61"/>
      <c r="Y230" s="61"/>
      <c r="Z230" s="61"/>
    </row>
    <row r="231" spans="1:26" ht="168">
      <c r="A231" s="72" t="s">
        <v>4719</v>
      </c>
      <c r="B231" s="72" t="s">
        <v>4720</v>
      </c>
      <c r="C231" s="72" t="s">
        <v>4721</v>
      </c>
      <c r="D231" s="158" t="str">
        <f t="shared" si="1"/>
        <v>INMAGINE</v>
      </c>
      <c r="E231" s="72" t="s">
        <v>4698</v>
      </c>
      <c r="F231" s="72" t="s">
        <v>4699</v>
      </c>
      <c r="G231" s="112" t="s">
        <v>4722</v>
      </c>
      <c r="H231" s="157" t="s">
        <v>4729</v>
      </c>
      <c r="I231" s="60" t="s">
        <v>32</v>
      </c>
      <c r="J231" s="61"/>
      <c r="K231" s="61"/>
      <c r="L231" s="61"/>
      <c r="M231" s="61"/>
      <c r="N231" s="61"/>
      <c r="O231" s="61"/>
      <c r="P231" s="61"/>
      <c r="Q231" s="61"/>
      <c r="R231" s="61"/>
      <c r="S231" s="61"/>
      <c r="T231" s="61"/>
      <c r="U231" s="61"/>
      <c r="V231" s="61"/>
      <c r="W231" s="61"/>
      <c r="X231" s="61"/>
      <c r="Y231" s="61"/>
      <c r="Z231" s="61"/>
    </row>
    <row r="232" spans="1:26" ht="176">
      <c r="A232" s="131" t="s">
        <v>4730</v>
      </c>
      <c r="B232" s="131" t="s">
        <v>4731</v>
      </c>
      <c r="C232" s="131" t="s">
        <v>4733</v>
      </c>
      <c r="D232" s="158" t="str">
        <f t="shared" si="1"/>
        <v>INMAGINE</v>
      </c>
      <c r="E232" s="72" t="s">
        <v>4698</v>
      </c>
      <c r="F232" s="72" t="s">
        <v>4699</v>
      </c>
      <c r="G232" s="112" t="s">
        <v>4739</v>
      </c>
      <c r="H232" s="157" t="s">
        <v>4729</v>
      </c>
      <c r="I232" s="60" t="s">
        <v>32</v>
      </c>
      <c r="J232" s="61"/>
      <c r="K232" s="61"/>
      <c r="L232" s="61"/>
      <c r="M232" s="61"/>
      <c r="N232" s="61"/>
      <c r="O232" s="61"/>
      <c r="P232" s="61"/>
      <c r="Q232" s="61"/>
      <c r="R232" s="61"/>
      <c r="S232" s="61"/>
      <c r="T232" s="61"/>
      <c r="U232" s="61"/>
      <c r="V232" s="61"/>
      <c r="W232" s="61"/>
      <c r="X232" s="61"/>
      <c r="Y232" s="61"/>
      <c r="Z232" s="61"/>
    </row>
    <row r="233" spans="1:26" ht="272">
      <c r="A233" s="131" t="s">
        <v>1630</v>
      </c>
      <c r="B233" s="131" t="s">
        <v>4752</v>
      </c>
      <c r="C233" s="131" t="s">
        <v>4753</v>
      </c>
      <c r="D233" s="158" t="str">
        <f t="shared" si="1"/>
        <v>INMAGINE</v>
      </c>
      <c r="E233" s="72" t="s">
        <v>4698</v>
      </c>
      <c r="F233" s="72" t="s">
        <v>4699</v>
      </c>
      <c r="G233" s="112" t="s">
        <v>4754</v>
      </c>
      <c r="H233" s="157" t="s">
        <v>4729</v>
      </c>
      <c r="I233" s="60" t="s">
        <v>32</v>
      </c>
      <c r="J233" s="61"/>
      <c r="K233" s="61"/>
      <c r="L233" s="61"/>
      <c r="M233" s="61"/>
      <c r="N233" s="61"/>
      <c r="O233" s="61"/>
      <c r="P233" s="61"/>
      <c r="Q233" s="61"/>
      <c r="R233" s="61"/>
      <c r="S233" s="61"/>
      <c r="T233" s="61"/>
      <c r="U233" s="61"/>
      <c r="V233" s="61"/>
      <c r="W233" s="61"/>
      <c r="X233" s="61"/>
      <c r="Y233" s="61"/>
      <c r="Z233" s="61"/>
    </row>
    <row r="234" spans="1:26" ht="288">
      <c r="A234" s="131" t="s">
        <v>4556</v>
      </c>
      <c r="B234" s="131" t="s">
        <v>4760</v>
      </c>
      <c r="C234" s="131" t="s">
        <v>4761</v>
      </c>
      <c r="D234" s="158" t="str">
        <f t="shared" si="1"/>
        <v>INMAGINE</v>
      </c>
      <c r="E234" s="72" t="s">
        <v>4698</v>
      </c>
      <c r="F234" s="72" t="s">
        <v>4699</v>
      </c>
      <c r="G234" s="112" t="s">
        <v>4764</v>
      </c>
      <c r="H234" s="157" t="s">
        <v>4729</v>
      </c>
      <c r="I234" s="60" t="s">
        <v>32</v>
      </c>
      <c r="J234" s="61"/>
      <c r="K234" s="61"/>
      <c r="L234" s="61"/>
      <c r="M234" s="61"/>
      <c r="N234" s="61"/>
      <c r="O234" s="61"/>
      <c r="P234" s="61"/>
      <c r="Q234" s="61"/>
      <c r="R234" s="61"/>
      <c r="S234" s="61"/>
      <c r="T234" s="61"/>
      <c r="U234" s="61"/>
      <c r="V234" s="61"/>
      <c r="W234" s="61"/>
      <c r="X234" s="61"/>
      <c r="Y234" s="61"/>
      <c r="Z234" s="61"/>
    </row>
    <row r="235" spans="1:26" ht="144">
      <c r="A235" s="131" t="s">
        <v>4769</v>
      </c>
      <c r="B235" s="131" t="s">
        <v>4770</v>
      </c>
      <c r="C235" s="131" t="s">
        <v>4772</v>
      </c>
      <c r="D235" s="131" t="s">
        <v>2467</v>
      </c>
      <c r="E235" s="131" t="s">
        <v>4774</v>
      </c>
      <c r="F235" s="131" t="s">
        <v>506</v>
      </c>
      <c r="G235" s="159" t="s">
        <v>2469</v>
      </c>
      <c r="H235" s="131" t="s">
        <v>4783</v>
      </c>
      <c r="I235" s="60" t="s">
        <v>32</v>
      </c>
      <c r="J235" s="61"/>
      <c r="K235" s="61"/>
      <c r="L235" s="61"/>
      <c r="M235" s="61"/>
      <c r="N235" s="61"/>
      <c r="O235" s="61"/>
      <c r="P235" s="61"/>
      <c r="Q235" s="61"/>
      <c r="R235" s="61"/>
      <c r="S235" s="61"/>
      <c r="T235" s="61"/>
      <c r="U235" s="61"/>
      <c r="V235" s="61"/>
      <c r="W235" s="61"/>
      <c r="X235" s="61"/>
      <c r="Y235" s="61"/>
      <c r="Z235" s="61"/>
    </row>
    <row r="236" spans="1:26" ht="112">
      <c r="A236" s="131" t="s">
        <v>4784</v>
      </c>
      <c r="B236" s="131" t="s">
        <v>4785</v>
      </c>
      <c r="C236" s="131" t="s">
        <v>4787</v>
      </c>
      <c r="D236" s="131" t="s">
        <v>2467</v>
      </c>
      <c r="E236" s="131" t="s">
        <v>4774</v>
      </c>
      <c r="F236" s="131" t="s">
        <v>506</v>
      </c>
      <c r="G236" s="159" t="s">
        <v>2469</v>
      </c>
      <c r="H236" s="131" t="s">
        <v>4783</v>
      </c>
      <c r="I236" s="60" t="s">
        <v>32</v>
      </c>
      <c r="J236" s="61"/>
      <c r="K236" s="61"/>
      <c r="L236" s="61"/>
      <c r="M236" s="61"/>
      <c r="N236" s="61"/>
      <c r="O236" s="61"/>
      <c r="P236" s="61"/>
      <c r="Q236" s="61"/>
      <c r="R236" s="61"/>
      <c r="S236" s="61"/>
      <c r="T236" s="61"/>
      <c r="U236" s="61"/>
      <c r="V236" s="61"/>
      <c r="W236" s="61"/>
      <c r="X236" s="61"/>
      <c r="Y236" s="61"/>
      <c r="Z236" s="61"/>
    </row>
    <row r="237" spans="1:26" ht="128">
      <c r="A237" s="131" t="s">
        <v>4804</v>
      </c>
      <c r="B237" s="131" t="s">
        <v>4806</v>
      </c>
      <c r="C237" s="131" t="s">
        <v>4807</v>
      </c>
      <c r="D237" s="131" t="s">
        <v>2467</v>
      </c>
      <c r="E237" s="131" t="s">
        <v>4774</v>
      </c>
      <c r="F237" s="131" t="s">
        <v>506</v>
      </c>
      <c r="G237" s="159" t="s">
        <v>2469</v>
      </c>
      <c r="H237" s="131" t="s">
        <v>4783</v>
      </c>
      <c r="I237" s="60" t="s">
        <v>32</v>
      </c>
      <c r="J237" s="61"/>
      <c r="K237" s="61"/>
      <c r="L237" s="61"/>
      <c r="M237" s="61"/>
      <c r="N237" s="61"/>
      <c r="O237" s="61"/>
      <c r="P237" s="61"/>
      <c r="Q237" s="61"/>
      <c r="R237" s="61"/>
      <c r="S237" s="61"/>
      <c r="T237" s="61"/>
      <c r="U237" s="61"/>
      <c r="V237" s="61"/>
      <c r="W237" s="61"/>
      <c r="X237" s="61"/>
      <c r="Y237" s="61"/>
      <c r="Z237" s="61"/>
    </row>
    <row r="238" spans="1:26" ht="112">
      <c r="A238" s="131" t="s">
        <v>4818</v>
      </c>
      <c r="B238" s="131" t="s">
        <v>4819</v>
      </c>
      <c r="C238" s="131" t="s">
        <v>4820</v>
      </c>
      <c r="D238" s="131" t="s">
        <v>2467</v>
      </c>
      <c r="E238" s="131" t="s">
        <v>4774</v>
      </c>
      <c r="F238" s="131" t="s">
        <v>506</v>
      </c>
      <c r="G238" s="159" t="s">
        <v>2469</v>
      </c>
      <c r="H238" s="131" t="s">
        <v>4783</v>
      </c>
      <c r="I238" s="60" t="s">
        <v>32</v>
      </c>
      <c r="J238" s="61"/>
      <c r="K238" s="61"/>
      <c r="L238" s="61"/>
      <c r="M238" s="61"/>
      <c r="N238" s="61"/>
      <c r="O238" s="61"/>
      <c r="P238" s="61"/>
      <c r="Q238" s="61"/>
      <c r="R238" s="61"/>
      <c r="S238" s="61"/>
      <c r="T238" s="61"/>
      <c r="U238" s="61"/>
      <c r="V238" s="61"/>
      <c r="W238" s="61"/>
      <c r="X238" s="61"/>
      <c r="Y238" s="61"/>
      <c r="Z238" s="61"/>
    </row>
    <row r="239" spans="1:26" ht="128">
      <c r="A239" s="131" t="s">
        <v>560</v>
      </c>
      <c r="B239" s="131" t="s">
        <v>4830</v>
      </c>
      <c r="C239" s="131" t="s">
        <v>4832</v>
      </c>
      <c r="D239" s="131" t="s">
        <v>2467</v>
      </c>
      <c r="E239" s="131" t="s">
        <v>4774</v>
      </c>
      <c r="F239" s="131" t="s">
        <v>506</v>
      </c>
      <c r="G239" s="159" t="s">
        <v>2469</v>
      </c>
      <c r="H239" s="131" t="s">
        <v>4783</v>
      </c>
      <c r="I239" s="60" t="s">
        <v>214</v>
      </c>
      <c r="J239" s="61"/>
      <c r="K239" s="61"/>
      <c r="L239" s="61"/>
      <c r="M239" s="61"/>
      <c r="N239" s="61"/>
      <c r="O239" s="61"/>
      <c r="P239" s="61"/>
      <c r="Q239" s="61"/>
      <c r="R239" s="61"/>
      <c r="S239" s="61"/>
      <c r="T239" s="61"/>
      <c r="U239" s="61"/>
      <c r="V239" s="61"/>
      <c r="W239" s="61"/>
      <c r="X239" s="61"/>
      <c r="Y239" s="61"/>
      <c r="Z239" s="61"/>
    </row>
    <row r="240" spans="1:26" ht="96">
      <c r="A240" s="131" t="s">
        <v>4847</v>
      </c>
      <c r="B240" s="131" t="s">
        <v>4849</v>
      </c>
      <c r="C240" s="131" t="s">
        <v>4850</v>
      </c>
      <c r="D240" s="131" t="s">
        <v>2467</v>
      </c>
      <c r="E240" s="131" t="s">
        <v>4774</v>
      </c>
      <c r="F240" s="131" t="s">
        <v>506</v>
      </c>
      <c r="G240" s="159" t="s">
        <v>2469</v>
      </c>
      <c r="H240" s="131" t="s">
        <v>4783</v>
      </c>
      <c r="I240" s="60" t="s">
        <v>32</v>
      </c>
      <c r="J240" s="61"/>
      <c r="K240" s="61"/>
      <c r="L240" s="61"/>
      <c r="M240" s="61"/>
      <c r="N240" s="61"/>
      <c r="O240" s="61"/>
      <c r="P240" s="61"/>
      <c r="Q240" s="61"/>
      <c r="R240" s="61"/>
      <c r="S240" s="61"/>
      <c r="T240" s="61"/>
      <c r="U240" s="61"/>
      <c r="V240" s="61"/>
      <c r="W240" s="61"/>
      <c r="X240" s="61"/>
      <c r="Y240" s="61"/>
      <c r="Z240" s="61"/>
    </row>
    <row r="241" spans="1:26" ht="70">
      <c r="A241" s="45" t="s">
        <v>4859</v>
      </c>
      <c r="B241" s="46" t="s">
        <v>4860</v>
      </c>
      <c r="C241" s="46" t="s">
        <v>4861</v>
      </c>
      <c r="D241" s="46" t="s">
        <v>4862</v>
      </c>
      <c r="E241" s="46" t="s">
        <v>4863</v>
      </c>
      <c r="F241" s="46" t="s">
        <v>4864</v>
      </c>
      <c r="G241" s="112" t="s">
        <v>4866</v>
      </c>
      <c r="H241" s="46" t="s">
        <v>4873</v>
      </c>
      <c r="I241" s="51" t="s">
        <v>433</v>
      </c>
      <c r="J241" s="52"/>
      <c r="K241" s="52"/>
      <c r="L241" s="52"/>
      <c r="M241" s="52"/>
      <c r="N241" s="52"/>
      <c r="O241" s="52"/>
      <c r="P241" s="52"/>
      <c r="Q241" s="52"/>
      <c r="R241" s="52"/>
      <c r="S241" s="52"/>
      <c r="T241" s="52"/>
      <c r="U241" s="52"/>
      <c r="V241" s="52"/>
      <c r="W241" s="52"/>
      <c r="X241" s="52"/>
      <c r="Y241" s="52"/>
      <c r="Z241" s="52"/>
    </row>
    <row r="242" spans="1:26" ht="210">
      <c r="A242" s="72" t="s">
        <v>4880</v>
      </c>
      <c r="B242" s="46" t="s">
        <v>4882</v>
      </c>
      <c r="C242" s="25" t="s">
        <v>4883</v>
      </c>
      <c r="D242" s="72" t="s">
        <v>4884</v>
      </c>
      <c r="E242" s="72" t="s">
        <v>4885</v>
      </c>
      <c r="F242" s="72" t="s">
        <v>33</v>
      </c>
      <c r="G242" s="160" t="s">
        <v>4886</v>
      </c>
      <c r="H242" s="72" t="s">
        <v>4895</v>
      </c>
      <c r="I242" s="60" t="s">
        <v>63</v>
      </c>
      <c r="J242" s="61"/>
      <c r="K242" s="61"/>
      <c r="L242" s="61"/>
      <c r="M242" s="61"/>
      <c r="N242" s="61"/>
      <c r="O242" s="61"/>
      <c r="P242" s="61"/>
      <c r="Q242" s="61"/>
      <c r="R242" s="61"/>
      <c r="S242" s="61"/>
      <c r="T242" s="61"/>
      <c r="U242" s="61"/>
      <c r="V242" s="61"/>
      <c r="W242" s="61"/>
      <c r="X242" s="61"/>
      <c r="Y242" s="61"/>
      <c r="Z242" s="61"/>
    </row>
    <row r="243" spans="1:26" ht="210">
      <c r="A243" s="72" t="s">
        <v>4904</v>
      </c>
      <c r="B243" s="46" t="s">
        <v>4905</v>
      </c>
      <c r="C243" s="104" t="s">
        <v>4906</v>
      </c>
      <c r="D243" s="72" t="s">
        <v>4884</v>
      </c>
      <c r="E243" s="72" t="s">
        <v>4885</v>
      </c>
      <c r="F243" s="72" t="s">
        <v>33</v>
      </c>
      <c r="G243" s="119" t="s">
        <v>1420</v>
      </c>
      <c r="H243" s="72" t="s">
        <v>4907</v>
      </c>
      <c r="I243" s="60" t="s">
        <v>63</v>
      </c>
      <c r="J243" s="61"/>
      <c r="K243" s="61"/>
      <c r="L243" s="61"/>
      <c r="M243" s="61"/>
      <c r="N243" s="61"/>
      <c r="O243" s="61"/>
      <c r="P243" s="61"/>
      <c r="Q243" s="61"/>
      <c r="R243" s="61"/>
      <c r="S243" s="61"/>
      <c r="T243" s="61"/>
      <c r="U243" s="61"/>
      <c r="V243" s="61"/>
      <c r="W243" s="61"/>
      <c r="X243" s="61"/>
      <c r="Y243" s="61"/>
      <c r="Z243" s="61"/>
    </row>
    <row r="244" spans="1:26" ht="140">
      <c r="A244" s="72" t="s">
        <v>1787</v>
      </c>
      <c r="B244" s="46" t="s">
        <v>4914</v>
      </c>
      <c r="C244" s="25" t="s">
        <v>4915</v>
      </c>
      <c r="D244" s="72" t="s">
        <v>4884</v>
      </c>
      <c r="E244" s="72" t="s">
        <v>4885</v>
      </c>
      <c r="F244" s="72" t="s">
        <v>33</v>
      </c>
      <c r="G244" s="119" t="s">
        <v>1420</v>
      </c>
      <c r="H244" s="72" t="s">
        <v>4907</v>
      </c>
      <c r="I244" s="60" t="s">
        <v>63</v>
      </c>
      <c r="J244" s="61"/>
      <c r="K244" s="61"/>
      <c r="L244" s="61"/>
      <c r="M244" s="61"/>
      <c r="N244" s="61"/>
      <c r="O244" s="61"/>
      <c r="P244" s="61"/>
      <c r="Q244" s="61"/>
      <c r="R244" s="61"/>
      <c r="S244" s="61"/>
      <c r="T244" s="61"/>
      <c r="U244" s="61"/>
      <c r="V244" s="61"/>
      <c r="W244" s="61"/>
      <c r="X244" s="61"/>
      <c r="Y244" s="61"/>
      <c r="Z244" s="61"/>
    </row>
    <row r="245" spans="1:26" ht="98">
      <c r="A245" s="72" t="s">
        <v>4920</v>
      </c>
      <c r="B245" s="80" t="s">
        <v>4921</v>
      </c>
      <c r="C245" s="72" t="s">
        <v>4922</v>
      </c>
      <c r="D245" s="72" t="s">
        <v>4884</v>
      </c>
      <c r="E245" s="72" t="s">
        <v>4885</v>
      </c>
      <c r="F245" s="72" t="s">
        <v>33</v>
      </c>
      <c r="G245" s="160" t="s">
        <v>4924</v>
      </c>
      <c r="H245" s="72" t="s">
        <v>4895</v>
      </c>
      <c r="I245" s="60" t="s">
        <v>161</v>
      </c>
      <c r="J245" s="61"/>
      <c r="K245" s="61"/>
      <c r="L245" s="61"/>
      <c r="M245" s="61"/>
      <c r="N245" s="61"/>
      <c r="O245" s="61"/>
      <c r="P245" s="61"/>
      <c r="Q245" s="61"/>
      <c r="R245" s="61"/>
      <c r="S245" s="61"/>
      <c r="T245" s="61"/>
      <c r="U245" s="61"/>
      <c r="V245" s="61"/>
      <c r="W245" s="61"/>
      <c r="X245" s="61"/>
      <c r="Y245" s="61"/>
      <c r="Z245" s="61"/>
    </row>
    <row r="246" spans="1:26" ht="126">
      <c r="A246" s="77" t="s">
        <v>4947</v>
      </c>
      <c r="B246" s="161" t="s">
        <v>4948</v>
      </c>
      <c r="C246" s="162" t="s">
        <v>4952</v>
      </c>
      <c r="D246" s="72" t="s">
        <v>4884</v>
      </c>
      <c r="E246" s="72" t="s">
        <v>4885</v>
      </c>
      <c r="F246" s="72" t="s">
        <v>33</v>
      </c>
      <c r="G246" s="119" t="s">
        <v>1420</v>
      </c>
      <c r="H246" s="72" t="s">
        <v>4907</v>
      </c>
      <c r="I246" s="60" t="s">
        <v>63</v>
      </c>
      <c r="J246" s="61"/>
      <c r="K246" s="61"/>
      <c r="L246" s="61"/>
      <c r="M246" s="61"/>
      <c r="N246" s="61"/>
      <c r="O246" s="61"/>
      <c r="P246" s="61"/>
      <c r="Q246" s="61"/>
      <c r="R246" s="61"/>
      <c r="S246" s="61"/>
      <c r="T246" s="61"/>
      <c r="U246" s="61"/>
      <c r="V246" s="61"/>
      <c r="W246" s="61"/>
      <c r="X246" s="61"/>
      <c r="Y246" s="61"/>
      <c r="Z246" s="61"/>
    </row>
    <row r="247" spans="1:26" ht="140">
      <c r="A247" s="72" t="s">
        <v>4954</v>
      </c>
      <c r="B247" s="80" t="s">
        <v>4955</v>
      </c>
      <c r="C247" s="72" t="s">
        <v>4956</v>
      </c>
      <c r="D247" s="72" t="s">
        <v>4884</v>
      </c>
      <c r="E247" s="72" t="s">
        <v>4885</v>
      </c>
      <c r="F247" s="72" t="s">
        <v>33</v>
      </c>
      <c r="G247" s="160" t="s">
        <v>4957</v>
      </c>
      <c r="H247" s="72" t="s">
        <v>4895</v>
      </c>
      <c r="I247" s="60" t="s">
        <v>296</v>
      </c>
      <c r="J247" s="61"/>
      <c r="K247" s="61"/>
      <c r="L247" s="61"/>
      <c r="M247" s="61"/>
      <c r="N247" s="61"/>
      <c r="O247" s="61"/>
      <c r="P247" s="61"/>
      <c r="Q247" s="61"/>
      <c r="R247" s="61"/>
      <c r="S247" s="61"/>
      <c r="T247" s="61"/>
      <c r="U247" s="61"/>
      <c r="V247" s="61"/>
      <c r="W247" s="61"/>
      <c r="X247" s="61"/>
      <c r="Y247" s="61"/>
      <c r="Z247" s="61"/>
    </row>
    <row r="248" spans="1:26" ht="320">
      <c r="A248" s="72" t="s">
        <v>4970</v>
      </c>
      <c r="B248" s="163" t="s">
        <v>4971</v>
      </c>
      <c r="C248" s="72" t="s">
        <v>4975</v>
      </c>
      <c r="D248" s="72" t="s">
        <v>4976</v>
      </c>
      <c r="E248" s="72" t="s">
        <v>4978</v>
      </c>
      <c r="F248" s="72" t="s">
        <v>4980</v>
      </c>
      <c r="G248" s="135" t="s">
        <v>4982</v>
      </c>
      <c r="H248" s="72" t="s">
        <v>4985</v>
      </c>
      <c r="I248" s="60" t="s">
        <v>296</v>
      </c>
      <c r="J248" s="61"/>
      <c r="K248" s="61"/>
      <c r="L248" s="61"/>
      <c r="M248" s="61"/>
      <c r="N248" s="61"/>
      <c r="O248" s="61"/>
      <c r="P248" s="61"/>
      <c r="Q248" s="61"/>
      <c r="R248" s="61"/>
      <c r="S248" s="61"/>
      <c r="T248" s="61"/>
      <c r="U248" s="61"/>
      <c r="V248" s="61"/>
      <c r="W248" s="61"/>
      <c r="X248" s="61"/>
      <c r="Y248" s="61"/>
      <c r="Z248" s="61"/>
    </row>
    <row r="249" spans="1:26" ht="128">
      <c r="A249" s="72" t="s">
        <v>4992</v>
      </c>
      <c r="B249" s="163" t="s">
        <v>4993</v>
      </c>
      <c r="C249" s="60" t="s">
        <v>4994</v>
      </c>
      <c r="D249" s="72" t="s">
        <v>4976</v>
      </c>
      <c r="E249" s="72" t="s">
        <v>4978</v>
      </c>
      <c r="F249" s="72" t="s">
        <v>4980</v>
      </c>
      <c r="G249" s="135" t="s">
        <v>4982</v>
      </c>
      <c r="H249" s="72" t="s">
        <v>4985</v>
      </c>
      <c r="I249" s="60" t="s">
        <v>161</v>
      </c>
      <c r="J249" s="61"/>
      <c r="K249" s="61"/>
      <c r="L249" s="61"/>
      <c r="M249" s="61"/>
      <c r="N249" s="61"/>
      <c r="O249" s="61"/>
      <c r="P249" s="61"/>
      <c r="Q249" s="61"/>
      <c r="R249" s="61"/>
      <c r="S249" s="61"/>
      <c r="T249" s="61"/>
      <c r="U249" s="61"/>
      <c r="V249" s="61"/>
      <c r="W249" s="61"/>
      <c r="X249" s="61"/>
      <c r="Y249" s="61"/>
      <c r="Z249" s="61"/>
    </row>
    <row r="250" spans="1:26" ht="238">
      <c r="A250" s="72" t="s">
        <v>5008</v>
      </c>
      <c r="B250" s="80" t="s">
        <v>5012</v>
      </c>
      <c r="C250" s="72" t="s">
        <v>5014</v>
      </c>
      <c r="D250" s="72" t="s">
        <v>5017</v>
      </c>
      <c r="E250" s="72" t="s">
        <v>5019</v>
      </c>
      <c r="F250" s="72" t="s">
        <v>5020</v>
      </c>
      <c r="G250" s="112" t="s">
        <v>5021</v>
      </c>
      <c r="H250" s="72" t="s">
        <v>5031</v>
      </c>
      <c r="I250" s="60" t="s">
        <v>214</v>
      </c>
      <c r="J250" s="61"/>
      <c r="K250" s="61"/>
      <c r="L250" s="61"/>
      <c r="M250" s="61"/>
      <c r="N250" s="61"/>
      <c r="O250" s="61"/>
      <c r="P250" s="61"/>
      <c r="Q250" s="61"/>
      <c r="R250" s="61"/>
      <c r="S250" s="61"/>
      <c r="T250" s="61"/>
      <c r="U250" s="61"/>
      <c r="V250" s="61"/>
      <c r="W250" s="61"/>
      <c r="X250" s="61"/>
      <c r="Y250" s="61"/>
      <c r="Z250" s="61"/>
    </row>
    <row r="251" spans="1:26" ht="280">
      <c r="A251" s="72" t="s">
        <v>5039</v>
      </c>
      <c r="B251" s="164" t="s">
        <v>5040</v>
      </c>
      <c r="C251" s="72" t="s">
        <v>5046</v>
      </c>
      <c r="D251" s="72" t="s">
        <v>5017</v>
      </c>
      <c r="E251" s="72" t="s">
        <v>5019</v>
      </c>
      <c r="F251" s="72" t="s">
        <v>5047</v>
      </c>
      <c r="G251" s="112" t="s">
        <v>5048</v>
      </c>
      <c r="H251" s="72" t="s">
        <v>5031</v>
      </c>
      <c r="I251" s="60" t="s">
        <v>470</v>
      </c>
      <c r="J251" s="61"/>
      <c r="K251" s="61"/>
      <c r="L251" s="61"/>
      <c r="M251" s="61"/>
      <c r="N251" s="61"/>
      <c r="O251" s="61"/>
      <c r="P251" s="61"/>
      <c r="Q251" s="61"/>
      <c r="R251" s="61"/>
      <c r="S251" s="61"/>
      <c r="T251" s="61"/>
      <c r="U251" s="61"/>
      <c r="V251" s="61"/>
      <c r="W251" s="61"/>
      <c r="X251" s="61"/>
      <c r="Y251" s="61"/>
      <c r="Z251" s="61"/>
    </row>
    <row r="252" spans="1:26" ht="319">
      <c r="A252" s="72" t="s">
        <v>5058</v>
      </c>
      <c r="B252" s="60" t="s">
        <v>5060</v>
      </c>
      <c r="C252" s="72" t="s">
        <v>5062</v>
      </c>
      <c r="D252" s="72" t="s">
        <v>5017</v>
      </c>
      <c r="E252" s="72" t="s">
        <v>5019</v>
      </c>
      <c r="F252" s="72" t="s">
        <v>5065</v>
      </c>
      <c r="G252" s="112" t="s">
        <v>5066</v>
      </c>
      <c r="H252" s="72" t="s">
        <v>5031</v>
      </c>
      <c r="I252" s="60" t="s">
        <v>32</v>
      </c>
      <c r="J252" s="61"/>
      <c r="K252" s="61"/>
      <c r="L252" s="61"/>
      <c r="M252" s="61"/>
      <c r="N252" s="61"/>
      <c r="O252" s="61"/>
      <c r="P252" s="61"/>
      <c r="Q252" s="61"/>
      <c r="R252" s="61"/>
      <c r="S252" s="61"/>
      <c r="T252" s="61"/>
      <c r="U252" s="61"/>
      <c r="V252" s="61"/>
      <c r="W252" s="61"/>
      <c r="X252" s="61"/>
      <c r="Y252" s="61"/>
      <c r="Z252" s="61"/>
    </row>
    <row r="253" spans="1:26" ht="266">
      <c r="A253" s="72" t="s">
        <v>3125</v>
      </c>
      <c r="B253" s="60" t="s">
        <v>5073</v>
      </c>
      <c r="C253" s="72" t="s">
        <v>5074</v>
      </c>
      <c r="D253" s="72" t="s">
        <v>5017</v>
      </c>
      <c r="E253" s="72" t="s">
        <v>5019</v>
      </c>
      <c r="F253" s="72" t="s">
        <v>5075</v>
      </c>
      <c r="G253" s="112" t="s">
        <v>5076</v>
      </c>
      <c r="H253" s="72" t="s">
        <v>5031</v>
      </c>
      <c r="I253" s="60" t="s">
        <v>161</v>
      </c>
      <c r="J253" s="61"/>
      <c r="K253" s="61"/>
      <c r="L253" s="61"/>
      <c r="M253" s="61"/>
      <c r="N253" s="61"/>
      <c r="O253" s="61"/>
      <c r="P253" s="61"/>
      <c r="Q253" s="61"/>
      <c r="R253" s="61"/>
      <c r="S253" s="61"/>
      <c r="T253" s="61"/>
      <c r="U253" s="61"/>
      <c r="V253" s="61"/>
      <c r="W253" s="61"/>
      <c r="X253" s="61"/>
      <c r="Y253" s="61"/>
      <c r="Z253" s="61"/>
    </row>
    <row r="254" spans="1:26" ht="332">
      <c r="A254" s="72" t="s">
        <v>5087</v>
      </c>
      <c r="B254" s="60" t="s">
        <v>5088</v>
      </c>
      <c r="C254" s="72" t="s">
        <v>5091</v>
      </c>
      <c r="D254" s="72" t="s">
        <v>5017</v>
      </c>
      <c r="E254" s="72" t="s">
        <v>5019</v>
      </c>
      <c r="F254" s="72" t="s">
        <v>5075</v>
      </c>
      <c r="G254" s="112" t="s">
        <v>5093</v>
      </c>
      <c r="H254" s="72" t="s">
        <v>5031</v>
      </c>
      <c r="I254" s="60" t="s">
        <v>32</v>
      </c>
      <c r="J254" s="61"/>
      <c r="K254" s="61"/>
      <c r="L254" s="61"/>
      <c r="M254" s="61"/>
      <c r="N254" s="61"/>
      <c r="O254" s="61"/>
      <c r="P254" s="61"/>
      <c r="Q254" s="61"/>
      <c r="R254" s="61"/>
      <c r="S254" s="61"/>
      <c r="T254" s="61"/>
      <c r="U254" s="61"/>
      <c r="V254" s="61"/>
      <c r="W254" s="61"/>
      <c r="X254" s="61"/>
      <c r="Y254" s="61"/>
      <c r="Z254" s="61"/>
    </row>
    <row r="255" spans="1:26" ht="332">
      <c r="A255" s="72" t="s">
        <v>5102</v>
      </c>
      <c r="B255" s="60" t="s">
        <v>5105</v>
      </c>
      <c r="C255" s="72" t="s">
        <v>5106</v>
      </c>
      <c r="D255" s="72" t="s">
        <v>5017</v>
      </c>
      <c r="E255" s="72" t="s">
        <v>5019</v>
      </c>
      <c r="F255" s="72" t="s">
        <v>5075</v>
      </c>
      <c r="G255" s="112" t="s">
        <v>5109</v>
      </c>
      <c r="H255" s="72" t="s">
        <v>5031</v>
      </c>
      <c r="I255" s="60" t="s">
        <v>32</v>
      </c>
      <c r="J255" s="61"/>
      <c r="K255" s="61"/>
      <c r="L255" s="61"/>
      <c r="M255" s="61"/>
      <c r="N255" s="61"/>
      <c r="O255" s="61"/>
      <c r="P255" s="61"/>
      <c r="Q255" s="61"/>
      <c r="R255" s="61"/>
      <c r="S255" s="61"/>
      <c r="T255" s="61"/>
      <c r="U255" s="61"/>
      <c r="V255" s="61"/>
      <c r="W255" s="61"/>
      <c r="X255" s="61"/>
      <c r="Y255" s="61"/>
      <c r="Z255" s="61"/>
    </row>
    <row r="256" spans="1:26" ht="84">
      <c r="A256" s="45" t="s">
        <v>5124</v>
      </c>
      <c r="B256" s="46" t="s">
        <v>5125</v>
      </c>
      <c r="C256" s="46" t="s">
        <v>5126</v>
      </c>
      <c r="D256" s="46" t="s">
        <v>5127</v>
      </c>
      <c r="E256" s="46" t="s">
        <v>5128</v>
      </c>
      <c r="F256" s="46" t="s">
        <v>33</v>
      </c>
      <c r="G256" s="50" t="s">
        <v>5129</v>
      </c>
      <c r="H256" s="46" t="s">
        <v>5138</v>
      </c>
      <c r="I256" s="51" t="s">
        <v>357</v>
      </c>
      <c r="J256" s="52"/>
      <c r="K256" s="52"/>
      <c r="L256" s="52"/>
      <c r="M256" s="52"/>
      <c r="N256" s="52"/>
      <c r="O256" s="52"/>
      <c r="P256" s="52"/>
      <c r="Q256" s="52"/>
      <c r="R256" s="52"/>
      <c r="S256" s="52"/>
      <c r="T256" s="52"/>
      <c r="U256" s="52"/>
      <c r="V256" s="52"/>
      <c r="W256" s="52"/>
      <c r="X256" s="52"/>
      <c r="Y256" s="52"/>
      <c r="Z256" s="52"/>
    </row>
    <row r="257" spans="1:26" ht="84">
      <c r="A257" s="45" t="s">
        <v>5149</v>
      </c>
      <c r="B257" s="46" t="s">
        <v>5150</v>
      </c>
      <c r="C257" s="46" t="s">
        <v>5151</v>
      </c>
      <c r="D257" s="46" t="s">
        <v>5127</v>
      </c>
      <c r="E257" s="46" t="s">
        <v>5128</v>
      </c>
      <c r="F257" s="46" t="s">
        <v>33</v>
      </c>
      <c r="G257" s="50" t="s">
        <v>5153</v>
      </c>
      <c r="H257" s="46" t="s">
        <v>5159</v>
      </c>
      <c r="I257" s="51" t="s">
        <v>357</v>
      </c>
      <c r="J257" s="52"/>
      <c r="K257" s="52"/>
      <c r="L257" s="52"/>
      <c r="M257" s="52"/>
      <c r="N257" s="52"/>
      <c r="O257" s="52"/>
      <c r="P257" s="52"/>
      <c r="Q257" s="52"/>
      <c r="R257" s="52"/>
      <c r="S257" s="52"/>
      <c r="T257" s="52"/>
      <c r="U257" s="52"/>
      <c r="V257" s="52"/>
      <c r="W257" s="52"/>
      <c r="X257" s="52"/>
      <c r="Y257" s="52"/>
      <c r="Z257" s="52"/>
    </row>
    <row r="258" spans="1:26" ht="160">
      <c r="A258" s="165" t="s">
        <v>3088</v>
      </c>
      <c r="B258" s="131" t="s">
        <v>5175</v>
      </c>
      <c r="C258" s="166" t="s">
        <v>5176</v>
      </c>
      <c r="D258" s="166" t="s">
        <v>5178</v>
      </c>
      <c r="E258" s="165" t="s">
        <v>5179</v>
      </c>
      <c r="F258" s="165" t="s">
        <v>33</v>
      </c>
      <c r="G258" s="167" t="s">
        <v>5182</v>
      </c>
      <c r="H258" s="166" t="s">
        <v>5194</v>
      </c>
      <c r="I258" s="60" t="s">
        <v>32</v>
      </c>
      <c r="J258" s="61"/>
      <c r="K258" s="61"/>
      <c r="L258" s="61"/>
      <c r="M258" s="61"/>
      <c r="N258" s="61"/>
      <c r="O258" s="61"/>
      <c r="P258" s="61"/>
      <c r="Q258" s="61"/>
      <c r="R258" s="61"/>
      <c r="S258" s="61"/>
      <c r="T258" s="61"/>
      <c r="U258" s="61"/>
      <c r="V258" s="61"/>
      <c r="W258" s="61"/>
      <c r="X258" s="61"/>
      <c r="Y258" s="61"/>
      <c r="Z258" s="61"/>
    </row>
    <row r="259" spans="1:26" ht="224">
      <c r="A259" s="165" t="s">
        <v>28</v>
      </c>
      <c r="B259" s="131" t="s">
        <v>5201</v>
      </c>
      <c r="C259" s="166" t="s">
        <v>5202</v>
      </c>
      <c r="D259" s="166" t="s">
        <v>5178</v>
      </c>
      <c r="E259" s="165" t="s">
        <v>5179</v>
      </c>
      <c r="F259" s="165" t="s">
        <v>33</v>
      </c>
      <c r="G259" s="167" t="s">
        <v>5182</v>
      </c>
      <c r="H259" s="166" t="s">
        <v>5194</v>
      </c>
      <c r="I259" s="60" t="s">
        <v>32</v>
      </c>
      <c r="J259" s="61"/>
      <c r="K259" s="61"/>
      <c r="L259" s="61"/>
      <c r="M259" s="61"/>
      <c r="N259" s="61"/>
      <c r="O259" s="61"/>
      <c r="P259" s="61"/>
      <c r="Q259" s="61"/>
      <c r="R259" s="61"/>
      <c r="S259" s="61"/>
      <c r="T259" s="61"/>
      <c r="U259" s="61"/>
      <c r="V259" s="61"/>
      <c r="W259" s="61"/>
      <c r="X259" s="61"/>
      <c r="Y259" s="61"/>
      <c r="Z259" s="61"/>
    </row>
    <row r="260" spans="1:26" ht="30">
      <c r="A260" s="172" t="s">
        <v>1267</v>
      </c>
      <c r="B260" s="173" t="s">
        <v>5222</v>
      </c>
      <c r="C260" s="46" t="s">
        <v>5227</v>
      </c>
      <c r="D260" s="46" t="s">
        <v>5228</v>
      </c>
      <c r="E260" s="46" t="s">
        <v>5229</v>
      </c>
      <c r="F260" s="46" t="s">
        <v>5230</v>
      </c>
      <c r="G260" s="38" t="s">
        <v>5231</v>
      </c>
      <c r="H260" s="46" t="s">
        <v>98</v>
      </c>
      <c r="I260" s="60" t="s">
        <v>214</v>
      </c>
      <c r="J260" s="52"/>
      <c r="K260" s="52"/>
      <c r="L260" s="52"/>
      <c r="M260" s="52"/>
      <c r="N260" s="52"/>
      <c r="O260" s="52"/>
      <c r="P260" s="52"/>
      <c r="Q260" s="52"/>
      <c r="R260" s="52"/>
      <c r="S260" s="52"/>
      <c r="T260" s="52"/>
      <c r="U260" s="52"/>
      <c r="V260" s="52"/>
      <c r="W260" s="52"/>
      <c r="X260" s="52"/>
      <c r="Y260" s="52"/>
      <c r="Z260" s="52"/>
    </row>
    <row r="261" spans="1:26" ht="30">
      <c r="A261" s="172" t="s">
        <v>5251</v>
      </c>
      <c r="B261" s="174" t="s">
        <v>5252</v>
      </c>
      <c r="C261" s="175" t="s">
        <v>5259</v>
      </c>
      <c r="D261" s="46" t="s">
        <v>5228</v>
      </c>
      <c r="E261" s="46" t="s">
        <v>5229</v>
      </c>
      <c r="F261" s="46" t="s">
        <v>5230</v>
      </c>
      <c r="G261" s="38" t="s">
        <v>5262</v>
      </c>
      <c r="H261" s="46" t="s">
        <v>98</v>
      </c>
      <c r="I261" s="60" t="s">
        <v>32</v>
      </c>
      <c r="J261" s="52"/>
      <c r="K261" s="52"/>
      <c r="L261" s="52"/>
      <c r="M261" s="52"/>
      <c r="N261" s="52"/>
      <c r="O261" s="52"/>
      <c r="P261" s="52"/>
      <c r="Q261" s="52"/>
      <c r="R261" s="52"/>
      <c r="S261" s="52"/>
      <c r="T261" s="52"/>
      <c r="U261" s="52"/>
      <c r="V261" s="52"/>
      <c r="W261" s="52"/>
      <c r="X261" s="52"/>
      <c r="Y261" s="52"/>
      <c r="Z261" s="52"/>
    </row>
    <row r="262" spans="1:26" ht="45">
      <c r="A262" s="172" t="s">
        <v>5278</v>
      </c>
      <c r="B262" s="174" t="s">
        <v>5279</v>
      </c>
      <c r="C262" s="176" t="s">
        <v>5280</v>
      </c>
      <c r="D262" s="46" t="s">
        <v>5228</v>
      </c>
      <c r="E262" s="46" t="s">
        <v>5229</v>
      </c>
      <c r="F262" s="46" t="s">
        <v>2618</v>
      </c>
      <c r="G262" s="38" t="s">
        <v>5281</v>
      </c>
      <c r="H262" s="46" t="s">
        <v>98</v>
      </c>
      <c r="I262" s="60" t="s">
        <v>32</v>
      </c>
      <c r="J262" s="52"/>
      <c r="K262" s="52"/>
      <c r="L262" s="52"/>
      <c r="M262" s="52"/>
      <c r="N262" s="52"/>
      <c r="O262" s="52"/>
      <c r="P262" s="52"/>
      <c r="Q262" s="52"/>
      <c r="R262" s="52"/>
      <c r="S262" s="52"/>
      <c r="T262" s="52"/>
      <c r="U262" s="52"/>
      <c r="V262" s="52"/>
      <c r="W262" s="52"/>
      <c r="X262" s="52"/>
      <c r="Y262" s="52"/>
      <c r="Z262" s="52"/>
    </row>
    <row r="263" spans="1:26" ht="45">
      <c r="A263" s="172" t="s">
        <v>5294</v>
      </c>
      <c r="B263" s="174" t="s">
        <v>5295</v>
      </c>
      <c r="C263" s="46" t="s">
        <v>5296</v>
      </c>
      <c r="D263" s="46" t="s">
        <v>5228</v>
      </c>
      <c r="E263" s="46" t="s">
        <v>5229</v>
      </c>
      <c r="F263" s="46" t="s">
        <v>5230</v>
      </c>
      <c r="G263" s="38" t="s">
        <v>5297</v>
      </c>
      <c r="H263" s="46" t="s">
        <v>98</v>
      </c>
      <c r="I263" s="51" t="s">
        <v>409</v>
      </c>
      <c r="J263" s="52"/>
      <c r="K263" s="52"/>
      <c r="L263" s="52"/>
      <c r="M263" s="52"/>
      <c r="N263" s="52"/>
      <c r="O263" s="52"/>
      <c r="P263" s="52"/>
      <c r="Q263" s="52"/>
      <c r="R263" s="52"/>
      <c r="S263" s="52"/>
      <c r="T263" s="52"/>
      <c r="U263" s="52"/>
      <c r="V263" s="52"/>
      <c r="W263" s="52"/>
      <c r="X263" s="52"/>
      <c r="Y263" s="52"/>
      <c r="Z263" s="52"/>
    </row>
    <row r="264" spans="1:26" ht="45">
      <c r="A264" s="172" t="s">
        <v>5312</v>
      </c>
      <c r="B264" s="174" t="s">
        <v>5313</v>
      </c>
      <c r="C264" s="46" t="s">
        <v>5314</v>
      </c>
      <c r="D264" s="46" t="s">
        <v>5228</v>
      </c>
      <c r="E264" s="46" t="s">
        <v>5229</v>
      </c>
      <c r="F264" s="46" t="s">
        <v>5230</v>
      </c>
      <c r="G264" s="38" t="s">
        <v>5315</v>
      </c>
      <c r="H264" s="46" t="s">
        <v>98</v>
      </c>
      <c r="I264" s="60" t="s">
        <v>296</v>
      </c>
      <c r="J264" s="52"/>
      <c r="K264" s="52"/>
      <c r="L264" s="52"/>
      <c r="M264" s="52"/>
      <c r="N264" s="52"/>
      <c r="O264" s="52"/>
      <c r="P264" s="52"/>
      <c r="Q264" s="52"/>
      <c r="R264" s="52"/>
      <c r="S264" s="52"/>
      <c r="T264" s="52"/>
      <c r="U264" s="52"/>
      <c r="V264" s="52"/>
      <c r="W264" s="52"/>
      <c r="X264" s="52"/>
      <c r="Y264" s="52"/>
      <c r="Z264" s="52"/>
    </row>
    <row r="265" spans="1:26" ht="98">
      <c r="A265" s="177" t="s">
        <v>5328</v>
      </c>
      <c r="B265" s="72" t="s">
        <v>5330</v>
      </c>
      <c r="C265" s="177" t="s">
        <v>5332</v>
      </c>
      <c r="D265" s="177" t="s">
        <v>5333</v>
      </c>
      <c r="E265" s="177" t="s">
        <v>5334</v>
      </c>
      <c r="F265" s="177" t="s">
        <v>33</v>
      </c>
      <c r="G265" s="178"/>
      <c r="H265" s="160" t="s">
        <v>5339</v>
      </c>
      <c r="I265" s="60" t="s">
        <v>32</v>
      </c>
      <c r="J265" s="61"/>
      <c r="K265" s="61"/>
      <c r="L265" s="61"/>
      <c r="M265" s="61"/>
      <c r="N265" s="61"/>
      <c r="O265" s="61"/>
      <c r="P265" s="61"/>
      <c r="Q265" s="61"/>
      <c r="R265" s="61"/>
      <c r="S265" s="61"/>
      <c r="T265" s="61"/>
      <c r="U265" s="61"/>
      <c r="V265" s="61"/>
      <c r="W265" s="61"/>
      <c r="X265" s="61"/>
      <c r="Y265" s="61"/>
      <c r="Z265" s="61"/>
    </row>
    <row r="266" spans="1:26" ht="98">
      <c r="A266" s="177" t="s">
        <v>5353</v>
      </c>
      <c r="B266" s="72" t="s">
        <v>5354</v>
      </c>
      <c r="C266" s="177" t="s">
        <v>5355</v>
      </c>
      <c r="D266" s="177" t="s">
        <v>5333</v>
      </c>
      <c r="E266" s="177" t="s">
        <v>5334</v>
      </c>
      <c r="F266" s="177" t="s">
        <v>33</v>
      </c>
      <c r="G266" s="178"/>
      <c r="H266" s="160" t="s">
        <v>5339</v>
      </c>
      <c r="I266" s="60" t="s">
        <v>32</v>
      </c>
      <c r="J266" s="61"/>
      <c r="K266" s="61"/>
      <c r="L266" s="61"/>
      <c r="M266" s="61"/>
      <c r="N266" s="61"/>
      <c r="O266" s="61"/>
      <c r="P266" s="61"/>
      <c r="Q266" s="61"/>
      <c r="R266" s="61"/>
      <c r="S266" s="61"/>
      <c r="T266" s="61"/>
      <c r="U266" s="61"/>
      <c r="V266" s="61"/>
      <c r="W266" s="61"/>
      <c r="X266" s="61"/>
      <c r="Y266" s="61"/>
      <c r="Z266" s="61"/>
    </row>
    <row r="267" spans="1:26" ht="98">
      <c r="A267" s="177" t="s">
        <v>5362</v>
      </c>
      <c r="B267" s="72" t="s">
        <v>5363</v>
      </c>
      <c r="C267" s="177" t="s">
        <v>5364</v>
      </c>
      <c r="D267" s="177" t="s">
        <v>5333</v>
      </c>
      <c r="E267" s="177" t="s">
        <v>5334</v>
      </c>
      <c r="F267" s="177" t="s">
        <v>33</v>
      </c>
      <c r="G267" s="340"/>
      <c r="H267" s="338"/>
      <c r="I267" s="60" t="s">
        <v>32</v>
      </c>
      <c r="J267" s="61"/>
      <c r="K267" s="61"/>
      <c r="L267" s="61"/>
      <c r="M267" s="61"/>
      <c r="N267" s="61"/>
      <c r="O267" s="61"/>
      <c r="P267" s="61"/>
      <c r="Q267" s="61"/>
      <c r="R267" s="61"/>
      <c r="S267" s="61"/>
      <c r="T267" s="61"/>
      <c r="U267" s="61"/>
      <c r="V267" s="61"/>
      <c r="W267" s="61"/>
      <c r="X267" s="61"/>
      <c r="Y267" s="61"/>
      <c r="Z267" s="61"/>
    </row>
    <row r="268" spans="1:26" ht="126">
      <c r="A268" s="51" t="s">
        <v>5372</v>
      </c>
      <c r="B268" s="60" t="s">
        <v>5373</v>
      </c>
      <c r="C268" s="72" t="s">
        <v>5375</v>
      </c>
      <c r="D268" s="51" t="s">
        <v>5376</v>
      </c>
      <c r="E268" s="51" t="s">
        <v>5379</v>
      </c>
      <c r="F268" s="51" t="s">
        <v>46</v>
      </c>
      <c r="G268" s="180" t="s">
        <v>5381</v>
      </c>
      <c r="H268" s="51" t="s">
        <v>5394</v>
      </c>
      <c r="I268" s="60" t="s">
        <v>32</v>
      </c>
      <c r="J268" s="61"/>
      <c r="K268" s="61"/>
      <c r="L268" s="61"/>
      <c r="M268" s="61"/>
      <c r="N268" s="61"/>
      <c r="O268" s="61"/>
      <c r="P268" s="61"/>
      <c r="Q268" s="61"/>
      <c r="R268" s="61"/>
      <c r="S268" s="61"/>
      <c r="T268" s="61"/>
      <c r="U268" s="61"/>
      <c r="V268" s="61"/>
      <c r="W268" s="61"/>
      <c r="X268" s="61"/>
      <c r="Y268" s="61"/>
      <c r="Z268" s="61"/>
    </row>
    <row r="269" spans="1:26" ht="140">
      <c r="A269" s="51" t="s">
        <v>5399</v>
      </c>
      <c r="B269" s="72" t="s">
        <v>5400</v>
      </c>
      <c r="C269" s="72" t="s">
        <v>5403</v>
      </c>
      <c r="D269" s="51" t="s">
        <v>5376</v>
      </c>
      <c r="E269" s="51" t="s">
        <v>5379</v>
      </c>
      <c r="F269" s="51" t="s">
        <v>46</v>
      </c>
      <c r="G269" s="181" t="s">
        <v>5405</v>
      </c>
      <c r="H269" s="51" t="s">
        <v>5394</v>
      </c>
      <c r="I269" s="60" t="s">
        <v>32</v>
      </c>
      <c r="J269" s="61"/>
      <c r="K269" s="61"/>
      <c r="L269" s="61"/>
      <c r="M269" s="61"/>
      <c r="N269" s="61"/>
      <c r="O269" s="61"/>
      <c r="P269" s="61"/>
      <c r="Q269" s="61"/>
      <c r="R269" s="61"/>
      <c r="S269" s="61"/>
      <c r="T269" s="61"/>
      <c r="U269" s="61"/>
      <c r="V269" s="61"/>
      <c r="W269" s="61"/>
      <c r="X269" s="61"/>
      <c r="Y269" s="61"/>
      <c r="Z269" s="61"/>
    </row>
    <row r="270" spans="1:26" ht="196">
      <c r="A270" s="51" t="s">
        <v>5417</v>
      </c>
      <c r="B270" s="72" t="s">
        <v>5419</v>
      </c>
      <c r="C270" s="72" t="s">
        <v>5422</v>
      </c>
      <c r="D270" s="51" t="s">
        <v>5376</v>
      </c>
      <c r="E270" s="51" t="s">
        <v>5379</v>
      </c>
      <c r="F270" s="51" t="s">
        <v>46</v>
      </c>
      <c r="G270" s="181" t="s">
        <v>5424</v>
      </c>
      <c r="H270" s="51" t="s">
        <v>5394</v>
      </c>
      <c r="I270" s="60" t="s">
        <v>32</v>
      </c>
      <c r="J270" s="61"/>
      <c r="K270" s="61"/>
      <c r="L270" s="61"/>
      <c r="M270" s="61"/>
      <c r="N270" s="61"/>
      <c r="O270" s="61"/>
      <c r="P270" s="61"/>
      <c r="Q270" s="61"/>
      <c r="R270" s="61"/>
      <c r="S270" s="61"/>
      <c r="T270" s="61"/>
      <c r="U270" s="61"/>
      <c r="V270" s="61"/>
      <c r="W270" s="61"/>
      <c r="X270" s="61"/>
      <c r="Y270" s="61"/>
      <c r="Z270" s="61"/>
    </row>
    <row r="271" spans="1:26" ht="168">
      <c r="A271" s="51" t="s">
        <v>5437</v>
      </c>
      <c r="B271" s="72" t="s">
        <v>5438</v>
      </c>
      <c r="C271" s="72" t="s">
        <v>5439</v>
      </c>
      <c r="D271" s="51" t="s">
        <v>5376</v>
      </c>
      <c r="E271" s="51" t="s">
        <v>5379</v>
      </c>
      <c r="F271" s="51" t="s">
        <v>46</v>
      </c>
      <c r="G271" s="181" t="s">
        <v>5440</v>
      </c>
      <c r="H271" s="51" t="s">
        <v>5394</v>
      </c>
      <c r="I271" s="60" t="s">
        <v>32</v>
      </c>
      <c r="J271" s="61"/>
      <c r="K271" s="61"/>
      <c r="L271" s="61"/>
      <c r="M271" s="61"/>
      <c r="N271" s="61"/>
      <c r="O271" s="61"/>
      <c r="P271" s="61"/>
      <c r="Q271" s="61"/>
      <c r="R271" s="61"/>
      <c r="S271" s="61"/>
      <c r="T271" s="61"/>
      <c r="U271" s="61"/>
      <c r="V271" s="61"/>
      <c r="W271" s="61"/>
      <c r="X271" s="61"/>
      <c r="Y271" s="61"/>
      <c r="Z271" s="61"/>
    </row>
    <row r="272" spans="1:26" ht="210">
      <c r="A272" s="51" t="s">
        <v>5453</v>
      </c>
      <c r="B272" s="72" t="s">
        <v>5454</v>
      </c>
      <c r="C272" s="72" t="s">
        <v>5455</v>
      </c>
      <c r="D272" s="51" t="s">
        <v>5376</v>
      </c>
      <c r="E272" s="51" t="s">
        <v>5379</v>
      </c>
      <c r="F272" s="51" t="s">
        <v>46</v>
      </c>
      <c r="G272" s="181" t="s">
        <v>5457</v>
      </c>
      <c r="H272" s="51" t="s">
        <v>5394</v>
      </c>
      <c r="I272" s="60" t="s">
        <v>214</v>
      </c>
      <c r="J272" s="61"/>
      <c r="K272" s="61"/>
      <c r="L272" s="61"/>
      <c r="M272" s="61"/>
      <c r="N272" s="61"/>
      <c r="O272" s="61"/>
      <c r="P272" s="61"/>
      <c r="Q272" s="61"/>
      <c r="R272" s="61"/>
      <c r="S272" s="61"/>
      <c r="T272" s="61"/>
      <c r="U272" s="61"/>
      <c r="V272" s="61"/>
      <c r="W272" s="61"/>
      <c r="X272" s="61"/>
      <c r="Y272" s="61"/>
      <c r="Z272" s="61"/>
    </row>
    <row r="273" spans="1:26" ht="196">
      <c r="A273" s="51" t="s">
        <v>5479</v>
      </c>
      <c r="B273" s="72" t="s">
        <v>5480</v>
      </c>
      <c r="C273" s="72" t="s">
        <v>5481</v>
      </c>
      <c r="D273" s="51" t="s">
        <v>5376</v>
      </c>
      <c r="E273" s="51" t="s">
        <v>5379</v>
      </c>
      <c r="F273" s="51" t="s">
        <v>46</v>
      </c>
      <c r="G273" s="180" t="s">
        <v>5482</v>
      </c>
      <c r="H273" s="51" t="s">
        <v>5394</v>
      </c>
      <c r="I273" s="60" t="s">
        <v>214</v>
      </c>
      <c r="J273" s="61"/>
      <c r="K273" s="61"/>
      <c r="L273" s="61"/>
      <c r="M273" s="61"/>
      <c r="N273" s="61"/>
      <c r="O273" s="61"/>
      <c r="P273" s="61"/>
      <c r="Q273" s="61"/>
      <c r="R273" s="61"/>
      <c r="S273" s="61"/>
      <c r="T273" s="61"/>
      <c r="U273" s="61"/>
      <c r="V273" s="61"/>
      <c r="W273" s="61"/>
      <c r="X273" s="61"/>
      <c r="Y273" s="61"/>
      <c r="Z273" s="61"/>
    </row>
    <row r="274" spans="1:26" ht="210">
      <c r="A274" s="35" t="s">
        <v>5498</v>
      </c>
      <c r="B274" s="60" t="s">
        <v>5499</v>
      </c>
      <c r="C274" s="35" t="s">
        <v>5500</v>
      </c>
      <c r="D274" s="35" t="s">
        <v>5501</v>
      </c>
      <c r="E274" s="35" t="s">
        <v>5502</v>
      </c>
      <c r="F274" s="35" t="s">
        <v>387</v>
      </c>
      <c r="G274" s="182" t="s">
        <v>5503</v>
      </c>
      <c r="H274" s="183" t="s">
        <v>5516</v>
      </c>
      <c r="I274" s="60" t="s">
        <v>266</v>
      </c>
      <c r="J274" s="61"/>
      <c r="K274" s="61"/>
      <c r="L274" s="61"/>
      <c r="M274" s="61"/>
      <c r="N274" s="61"/>
      <c r="O274" s="61"/>
      <c r="P274" s="61"/>
      <c r="Q274" s="61"/>
      <c r="R274" s="61"/>
      <c r="S274" s="61"/>
      <c r="T274" s="61"/>
      <c r="U274" s="61"/>
      <c r="V274" s="61"/>
      <c r="W274" s="61"/>
      <c r="X274" s="61"/>
      <c r="Y274" s="61"/>
      <c r="Z274" s="61"/>
    </row>
    <row r="275" spans="1:26" ht="14">
      <c r="A275" s="49" t="s">
        <v>5524</v>
      </c>
      <c r="B275" s="61" t="s">
        <v>5526</v>
      </c>
      <c r="C275" s="184" t="s">
        <v>5529</v>
      </c>
      <c r="D275" s="184" t="s">
        <v>2984</v>
      </c>
      <c r="E275" s="184" t="s">
        <v>5530</v>
      </c>
      <c r="F275" s="184" t="s">
        <v>46</v>
      </c>
      <c r="G275" s="185" t="s">
        <v>5533</v>
      </c>
      <c r="H275" s="184" t="s">
        <v>5540</v>
      </c>
      <c r="I275" s="60" t="s">
        <v>32</v>
      </c>
      <c r="J275" s="61"/>
      <c r="K275" s="61"/>
      <c r="L275" s="61"/>
      <c r="M275" s="61"/>
      <c r="N275" s="61"/>
      <c r="O275" s="61"/>
      <c r="P275" s="61"/>
      <c r="Q275" s="61"/>
      <c r="R275" s="61"/>
      <c r="S275" s="61"/>
      <c r="T275" s="61"/>
      <c r="U275" s="61"/>
      <c r="V275" s="61"/>
      <c r="W275" s="61"/>
      <c r="X275" s="61"/>
      <c r="Y275" s="61"/>
      <c r="Z275" s="61"/>
    </row>
    <row r="276" spans="1:26" ht="14">
      <c r="A276" s="49" t="s">
        <v>5547</v>
      </c>
      <c r="B276" s="61" t="s">
        <v>5548</v>
      </c>
      <c r="C276" s="184" t="s">
        <v>5549</v>
      </c>
      <c r="D276" s="184" t="s">
        <v>2984</v>
      </c>
      <c r="E276" s="184" t="s">
        <v>5530</v>
      </c>
      <c r="F276" s="184" t="s">
        <v>46</v>
      </c>
      <c r="G276" s="185" t="s">
        <v>5550</v>
      </c>
      <c r="H276" s="184" t="s">
        <v>5540</v>
      </c>
      <c r="I276" s="60" t="s">
        <v>32</v>
      </c>
      <c r="J276" s="61"/>
      <c r="K276" s="61"/>
      <c r="L276" s="61"/>
      <c r="M276" s="61"/>
      <c r="N276" s="61"/>
      <c r="O276" s="61"/>
      <c r="P276" s="61"/>
      <c r="Q276" s="61"/>
      <c r="R276" s="61"/>
      <c r="S276" s="61"/>
      <c r="T276" s="61"/>
      <c r="U276" s="61"/>
      <c r="V276" s="61"/>
      <c r="W276" s="61"/>
      <c r="X276" s="61"/>
      <c r="Y276" s="61"/>
      <c r="Z276" s="61"/>
    </row>
    <row r="277" spans="1:26" ht="28">
      <c r="A277" s="49" t="s">
        <v>5561</v>
      </c>
      <c r="B277" s="61" t="s">
        <v>5562</v>
      </c>
      <c r="C277" s="184" t="s">
        <v>5564</v>
      </c>
      <c r="D277" s="184" t="s">
        <v>2984</v>
      </c>
      <c r="E277" s="184" t="s">
        <v>5530</v>
      </c>
      <c r="F277" s="184" t="s">
        <v>46</v>
      </c>
      <c r="G277" s="185" t="s">
        <v>5567</v>
      </c>
      <c r="H277" s="184" t="s">
        <v>5540</v>
      </c>
      <c r="I277" s="60" t="s">
        <v>32</v>
      </c>
      <c r="J277" s="61"/>
      <c r="K277" s="61"/>
      <c r="L277" s="61"/>
      <c r="M277" s="61"/>
      <c r="N277" s="61"/>
      <c r="O277" s="61"/>
      <c r="P277" s="61"/>
      <c r="Q277" s="61"/>
      <c r="R277" s="61"/>
      <c r="S277" s="61"/>
      <c r="T277" s="61"/>
      <c r="U277" s="61"/>
      <c r="V277" s="61"/>
      <c r="W277" s="61"/>
      <c r="X277" s="61"/>
      <c r="Y277" s="61"/>
      <c r="Z277" s="61"/>
    </row>
    <row r="278" spans="1:26" ht="192">
      <c r="A278" s="186" t="s">
        <v>5574</v>
      </c>
      <c r="B278" s="187" t="s">
        <v>5581</v>
      </c>
      <c r="C278" s="187" t="s">
        <v>5582</v>
      </c>
      <c r="D278" s="188" t="s">
        <v>2984</v>
      </c>
      <c r="E278" s="188" t="s">
        <v>5585</v>
      </c>
      <c r="F278" s="188" t="s">
        <v>46</v>
      </c>
      <c r="G278" s="189" t="s">
        <v>5586</v>
      </c>
      <c r="H278" s="188" t="s">
        <v>5604</v>
      </c>
      <c r="I278" s="60" t="s">
        <v>32</v>
      </c>
      <c r="J278" s="61"/>
      <c r="K278" s="61"/>
      <c r="L278" s="61"/>
      <c r="M278" s="61"/>
      <c r="N278" s="61"/>
      <c r="O278" s="61"/>
      <c r="P278" s="61"/>
      <c r="Q278" s="61"/>
      <c r="R278" s="61"/>
      <c r="S278" s="61"/>
      <c r="T278" s="61"/>
      <c r="U278" s="61"/>
      <c r="V278" s="61"/>
      <c r="W278" s="61"/>
      <c r="X278" s="61"/>
      <c r="Y278" s="61"/>
      <c r="Z278" s="61"/>
    </row>
    <row r="279" spans="1:26" ht="240">
      <c r="A279" s="186" t="s">
        <v>5610</v>
      </c>
      <c r="B279" s="187" t="s">
        <v>5611</v>
      </c>
      <c r="C279" s="187" t="s">
        <v>5612</v>
      </c>
      <c r="D279" s="188" t="s">
        <v>2984</v>
      </c>
      <c r="E279" s="188" t="s">
        <v>5585</v>
      </c>
      <c r="F279" s="188" t="s">
        <v>46</v>
      </c>
      <c r="G279" s="190" t="s">
        <v>5613</v>
      </c>
      <c r="H279" s="188" t="s">
        <v>5604</v>
      </c>
      <c r="I279" s="60" t="s">
        <v>32</v>
      </c>
      <c r="J279" s="61"/>
      <c r="K279" s="61"/>
      <c r="L279" s="61"/>
      <c r="M279" s="61"/>
      <c r="N279" s="61"/>
      <c r="O279" s="61"/>
      <c r="P279" s="61"/>
      <c r="Q279" s="61"/>
      <c r="R279" s="61"/>
      <c r="S279" s="61"/>
      <c r="T279" s="61"/>
      <c r="U279" s="61"/>
      <c r="V279" s="61"/>
      <c r="W279" s="61"/>
      <c r="X279" s="61"/>
      <c r="Y279" s="61"/>
      <c r="Z279" s="61"/>
    </row>
    <row r="280" spans="1:26" ht="176">
      <c r="A280" s="186" t="s">
        <v>1758</v>
      </c>
      <c r="B280" s="186" t="s">
        <v>5629</v>
      </c>
      <c r="C280" s="186" t="s">
        <v>5630</v>
      </c>
      <c r="D280" s="188" t="s">
        <v>2984</v>
      </c>
      <c r="E280" s="188" t="s">
        <v>5585</v>
      </c>
      <c r="F280" s="188" t="s">
        <v>46</v>
      </c>
      <c r="G280" s="189" t="s">
        <v>5631</v>
      </c>
      <c r="H280" s="188" t="s">
        <v>5604</v>
      </c>
      <c r="I280" s="60" t="s">
        <v>32</v>
      </c>
      <c r="J280" s="61"/>
      <c r="K280" s="61"/>
      <c r="L280" s="61"/>
      <c r="M280" s="61"/>
      <c r="N280" s="61"/>
      <c r="O280" s="61"/>
      <c r="P280" s="61"/>
      <c r="Q280" s="61"/>
      <c r="R280" s="61"/>
      <c r="S280" s="61"/>
      <c r="T280" s="61"/>
      <c r="U280" s="61"/>
      <c r="V280" s="61"/>
      <c r="W280" s="61"/>
      <c r="X280" s="61"/>
      <c r="Y280" s="61"/>
      <c r="Z280" s="61"/>
    </row>
    <row r="281" spans="1:26" ht="210">
      <c r="A281" s="35" t="s">
        <v>5643</v>
      </c>
      <c r="B281" s="60" t="s">
        <v>5644</v>
      </c>
      <c r="C281" s="35" t="s">
        <v>5645</v>
      </c>
      <c r="D281" s="35" t="s">
        <v>5646</v>
      </c>
      <c r="E281" s="35" t="s">
        <v>3721</v>
      </c>
      <c r="F281" s="35" t="s">
        <v>1958</v>
      </c>
      <c r="G281" s="182" t="s">
        <v>5647</v>
      </c>
      <c r="H281" s="35" t="s">
        <v>98</v>
      </c>
      <c r="I281" s="60" t="s">
        <v>32</v>
      </c>
      <c r="J281" s="61"/>
      <c r="K281" s="61"/>
      <c r="L281" s="61"/>
      <c r="M281" s="61"/>
      <c r="N281" s="61"/>
      <c r="O281" s="61"/>
      <c r="P281" s="61"/>
      <c r="Q281" s="61"/>
      <c r="R281" s="61"/>
      <c r="S281" s="61"/>
      <c r="T281" s="61"/>
      <c r="U281" s="61"/>
      <c r="V281" s="61"/>
      <c r="W281" s="61"/>
      <c r="X281" s="61"/>
      <c r="Y281" s="61"/>
      <c r="Z281" s="61"/>
    </row>
    <row r="282" spans="1:26" ht="252">
      <c r="A282" s="35" t="s">
        <v>5654</v>
      </c>
      <c r="B282" s="60" t="s">
        <v>5656</v>
      </c>
      <c r="C282" s="35" t="s">
        <v>5659</v>
      </c>
      <c r="D282" s="35" t="s">
        <v>5646</v>
      </c>
      <c r="E282" s="35" t="s">
        <v>3721</v>
      </c>
      <c r="F282" s="35" t="s">
        <v>1958</v>
      </c>
      <c r="G282" s="182" t="s">
        <v>5664</v>
      </c>
      <c r="H282" s="35" t="s">
        <v>98</v>
      </c>
      <c r="I282" s="60" t="s">
        <v>32</v>
      </c>
      <c r="J282" s="61"/>
      <c r="K282" s="61"/>
      <c r="L282" s="61"/>
      <c r="M282" s="61"/>
      <c r="N282" s="61"/>
      <c r="O282" s="61"/>
      <c r="P282" s="61"/>
      <c r="Q282" s="61"/>
      <c r="R282" s="61"/>
      <c r="S282" s="61"/>
      <c r="T282" s="61"/>
      <c r="U282" s="61"/>
      <c r="V282" s="61"/>
      <c r="W282" s="61"/>
      <c r="X282" s="61"/>
      <c r="Y282" s="61"/>
      <c r="Z282" s="61"/>
    </row>
    <row r="283" spans="1:26" ht="56">
      <c r="A283" s="45" t="s">
        <v>162</v>
      </c>
      <c r="B283" s="46" t="s">
        <v>5679</v>
      </c>
      <c r="C283" s="47" t="s">
        <v>5680</v>
      </c>
      <c r="D283" s="46" t="s">
        <v>5681</v>
      </c>
      <c r="E283" s="46" t="s">
        <v>438</v>
      </c>
      <c r="F283" s="46" t="s">
        <v>46</v>
      </c>
      <c r="G283" s="78"/>
      <c r="H283" s="46" t="s">
        <v>5682</v>
      </c>
      <c r="I283" s="51" t="s">
        <v>326</v>
      </c>
      <c r="J283" s="52"/>
      <c r="K283" s="52"/>
      <c r="L283" s="52"/>
      <c r="M283" s="52"/>
      <c r="N283" s="52"/>
      <c r="O283" s="52"/>
      <c r="P283" s="52"/>
      <c r="Q283" s="52"/>
      <c r="R283" s="52"/>
      <c r="S283" s="52"/>
      <c r="T283" s="52"/>
      <c r="U283" s="52"/>
      <c r="V283" s="51"/>
      <c r="W283" s="52"/>
      <c r="X283" s="52"/>
      <c r="Y283" s="52"/>
      <c r="Z283" s="52"/>
    </row>
    <row r="284" spans="1:26" ht="126">
      <c r="A284" s="45" t="s">
        <v>5683</v>
      </c>
      <c r="B284" s="46" t="s">
        <v>5685</v>
      </c>
      <c r="C284" s="47" t="s">
        <v>5686</v>
      </c>
      <c r="D284" s="46" t="s">
        <v>5681</v>
      </c>
      <c r="E284" s="46" t="s">
        <v>438</v>
      </c>
      <c r="F284" s="46" t="s">
        <v>46</v>
      </c>
      <c r="G284" s="78"/>
      <c r="H284" s="46" t="s">
        <v>5682</v>
      </c>
      <c r="I284" s="51" t="s">
        <v>326</v>
      </c>
      <c r="J284" s="52"/>
      <c r="K284" s="52"/>
      <c r="L284" s="52"/>
      <c r="M284" s="52"/>
      <c r="N284" s="52"/>
      <c r="O284" s="52"/>
      <c r="P284" s="52"/>
      <c r="Q284" s="52"/>
      <c r="R284" s="52"/>
      <c r="S284" s="52"/>
      <c r="T284" s="52"/>
      <c r="U284" s="52"/>
      <c r="V284" s="51"/>
      <c r="W284" s="52"/>
      <c r="X284" s="52"/>
      <c r="Y284" s="52"/>
      <c r="Z284" s="52"/>
    </row>
    <row r="285" spans="1:26" ht="182">
      <c r="A285" s="35" t="s">
        <v>5691</v>
      </c>
      <c r="B285" s="60" t="s">
        <v>5692</v>
      </c>
      <c r="C285" s="35" t="s">
        <v>5693</v>
      </c>
      <c r="D285" s="35" t="s">
        <v>5646</v>
      </c>
      <c r="E285" s="35" t="s">
        <v>3721</v>
      </c>
      <c r="F285" s="35" t="s">
        <v>1958</v>
      </c>
      <c r="G285" s="182" t="s">
        <v>5694</v>
      </c>
      <c r="H285" s="35" t="s">
        <v>98</v>
      </c>
      <c r="I285" s="60" t="s">
        <v>32</v>
      </c>
      <c r="J285" s="61"/>
      <c r="K285" s="61"/>
      <c r="L285" s="61"/>
      <c r="M285" s="61"/>
      <c r="N285" s="61"/>
      <c r="O285" s="61"/>
      <c r="P285" s="61"/>
      <c r="Q285" s="61"/>
      <c r="R285" s="61"/>
      <c r="S285" s="61"/>
      <c r="T285" s="61"/>
      <c r="U285" s="61"/>
      <c r="V285" s="61"/>
      <c r="W285" s="61"/>
      <c r="X285" s="61"/>
      <c r="Y285" s="61"/>
      <c r="Z285" s="61"/>
    </row>
    <row r="286" spans="1:26" ht="42">
      <c r="A286" s="172" t="s">
        <v>798</v>
      </c>
      <c r="B286" s="60" t="s">
        <v>5707</v>
      </c>
      <c r="C286" s="60" t="s">
        <v>5709</v>
      </c>
      <c r="D286" s="60" t="s">
        <v>5710</v>
      </c>
      <c r="E286" s="60" t="s">
        <v>79</v>
      </c>
      <c r="F286" s="60" t="s">
        <v>46</v>
      </c>
      <c r="G286" s="61"/>
      <c r="H286" s="191" t="s">
        <v>5712</v>
      </c>
      <c r="I286" s="60" t="s">
        <v>32</v>
      </c>
      <c r="J286" s="61"/>
      <c r="K286" s="61"/>
      <c r="L286" s="61"/>
      <c r="M286" s="61"/>
      <c r="N286" s="61"/>
      <c r="O286" s="61"/>
      <c r="P286" s="61"/>
      <c r="Q286" s="61"/>
      <c r="R286" s="61"/>
      <c r="S286" s="61"/>
      <c r="T286" s="61"/>
      <c r="U286" s="61"/>
      <c r="V286" s="61"/>
      <c r="W286" s="61"/>
      <c r="X286" s="61"/>
      <c r="Y286" s="61"/>
      <c r="Z286" s="61"/>
    </row>
    <row r="287" spans="1:26" ht="112">
      <c r="A287" s="192" t="s">
        <v>5716</v>
      </c>
      <c r="B287" s="60" t="s">
        <v>5720</v>
      </c>
      <c r="C287" s="35" t="s">
        <v>5721</v>
      </c>
      <c r="D287" s="193" t="s">
        <v>5722</v>
      </c>
      <c r="E287" s="192" t="s">
        <v>5728</v>
      </c>
      <c r="F287" s="192" t="s">
        <v>33</v>
      </c>
      <c r="G287" s="193" t="s">
        <v>5729</v>
      </c>
      <c r="H287" s="192" t="s">
        <v>5735</v>
      </c>
      <c r="I287" s="60" t="s">
        <v>32</v>
      </c>
      <c r="J287" s="61"/>
      <c r="K287" s="61"/>
      <c r="L287" s="61"/>
      <c r="M287" s="61"/>
      <c r="N287" s="61"/>
      <c r="O287" s="61"/>
      <c r="P287" s="61"/>
      <c r="Q287" s="61"/>
      <c r="R287" s="61"/>
      <c r="S287" s="61"/>
      <c r="T287" s="61"/>
      <c r="U287" s="61"/>
      <c r="V287" s="61"/>
      <c r="W287" s="61"/>
      <c r="X287" s="61"/>
      <c r="Y287" s="61"/>
      <c r="Z287" s="61"/>
    </row>
    <row r="288" spans="1:26" ht="154">
      <c r="A288" s="192" t="s">
        <v>5737</v>
      </c>
      <c r="B288" s="60" t="s">
        <v>5738</v>
      </c>
      <c r="C288" s="35" t="s">
        <v>5739</v>
      </c>
      <c r="D288" s="193" t="s">
        <v>5722</v>
      </c>
      <c r="E288" s="192" t="s">
        <v>5728</v>
      </c>
      <c r="F288" s="192" t="s">
        <v>33</v>
      </c>
      <c r="G288" s="193" t="s">
        <v>5729</v>
      </c>
      <c r="H288" s="192" t="s">
        <v>5735</v>
      </c>
      <c r="I288" s="60" t="s">
        <v>433</v>
      </c>
      <c r="J288" s="61"/>
      <c r="K288" s="61"/>
      <c r="L288" s="61"/>
      <c r="M288" s="61"/>
      <c r="N288" s="61"/>
      <c r="O288" s="61"/>
      <c r="P288" s="61"/>
      <c r="Q288" s="61"/>
      <c r="R288" s="61"/>
      <c r="S288" s="61"/>
      <c r="T288" s="61"/>
      <c r="U288" s="61"/>
      <c r="V288" s="61"/>
      <c r="W288" s="61"/>
      <c r="X288" s="61"/>
      <c r="Y288" s="61"/>
      <c r="Z288" s="61"/>
    </row>
    <row r="289" spans="1:26" ht="196">
      <c r="A289" s="192" t="s">
        <v>5753</v>
      </c>
      <c r="B289" s="60" t="s">
        <v>5754</v>
      </c>
      <c r="C289" s="35" t="s">
        <v>5755</v>
      </c>
      <c r="D289" s="193" t="s">
        <v>5722</v>
      </c>
      <c r="E289" s="192" t="s">
        <v>5728</v>
      </c>
      <c r="F289" s="192" t="s">
        <v>33</v>
      </c>
      <c r="G289" s="193" t="s">
        <v>5729</v>
      </c>
      <c r="H289" s="192" t="s">
        <v>5735</v>
      </c>
      <c r="I289" s="60" t="s">
        <v>433</v>
      </c>
      <c r="J289" s="61"/>
      <c r="K289" s="61"/>
      <c r="L289" s="61"/>
      <c r="M289" s="61"/>
      <c r="N289" s="61"/>
      <c r="O289" s="61"/>
      <c r="P289" s="61"/>
      <c r="Q289" s="61"/>
      <c r="R289" s="61"/>
      <c r="S289" s="61"/>
      <c r="T289" s="61"/>
      <c r="U289" s="61"/>
      <c r="V289" s="61"/>
      <c r="W289" s="61"/>
      <c r="X289" s="61"/>
      <c r="Y289" s="61"/>
      <c r="Z289" s="61"/>
    </row>
    <row r="290" spans="1:26" ht="140">
      <c r="A290" s="192" t="s">
        <v>5768</v>
      </c>
      <c r="B290" s="60" t="s">
        <v>5770</v>
      </c>
      <c r="C290" s="35" t="s">
        <v>5772</v>
      </c>
      <c r="D290" s="193" t="s">
        <v>5722</v>
      </c>
      <c r="E290" s="192" t="s">
        <v>5728</v>
      </c>
      <c r="F290" s="192" t="s">
        <v>33</v>
      </c>
      <c r="G290" s="193" t="s">
        <v>5729</v>
      </c>
      <c r="H290" s="192" t="s">
        <v>5735</v>
      </c>
      <c r="I290" s="60" t="s">
        <v>32</v>
      </c>
      <c r="J290" s="61"/>
      <c r="K290" s="61"/>
      <c r="L290" s="61"/>
      <c r="M290" s="61"/>
      <c r="N290" s="61"/>
      <c r="O290" s="61"/>
      <c r="P290" s="61"/>
      <c r="Q290" s="61"/>
      <c r="R290" s="61"/>
      <c r="S290" s="61"/>
      <c r="T290" s="61"/>
      <c r="U290" s="61"/>
      <c r="V290" s="61"/>
      <c r="W290" s="61"/>
      <c r="X290" s="61"/>
      <c r="Y290" s="61"/>
      <c r="Z290" s="61"/>
    </row>
    <row r="291" spans="1:26" ht="182">
      <c r="A291" s="192" t="s">
        <v>2153</v>
      </c>
      <c r="B291" s="60" t="s">
        <v>5791</v>
      </c>
      <c r="C291" s="35" t="s">
        <v>5794</v>
      </c>
      <c r="D291" s="193" t="s">
        <v>5722</v>
      </c>
      <c r="E291" s="192" t="s">
        <v>5728</v>
      </c>
      <c r="F291" s="192" t="s">
        <v>33</v>
      </c>
      <c r="G291" s="193" t="s">
        <v>5729</v>
      </c>
      <c r="H291" s="192" t="s">
        <v>5735</v>
      </c>
      <c r="I291" s="60" t="s">
        <v>161</v>
      </c>
      <c r="J291" s="61"/>
      <c r="K291" s="61"/>
      <c r="L291" s="61"/>
      <c r="M291" s="61"/>
      <c r="N291" s="61"/>
      <c r="O291" s="61"/>
      <c r="P291" s="61"/>
      <c r="Q291" s="61"/>
      <c r="R291" s="61"/>
      <c r="S291" s="61"/>
      <c r="T291" s="61"/>
      <c r="U291" s="61"/>
      <c r="V291" s="61"/>
      <c r="W291" s="61"/>
      <c r="X291" s="61"/>
      <c r="Y291" s="61"/>
      <c r="Z291" s="61"/>
    </row>
    <row r="292" spans="1:26" ht="84">
      <c r="A292" s="192" t="s">
        <v>5815</v>
      </c>
      <c r="B292" s="60" t="s">
        <v>5816</v>
      </c>
      <c r="C292" s="35" t="s">
        <v>5818</v>
      </c>
      <c r="D292" s="193" t="s">
        <v>5722</v>
      </c>
      <c r="E292" s="192" t="s">
        <v>5728</v>
      </c>
      <c r="F292" s="192" t="s">
        <v>33</v>
      </c>
      <c r="G292" s="193" t="s">
        <v>5729</v>
      </c>
      <c r="H292" s="192" t="s">
        <v>5735</v>
      </c>
      <c r="I292" s="60" t="s">
        <v>32</v>
      </c>
      <c r="J292" s="61"/>
      <c r="K292" s="61"/>
      <c r="L292" s="61"/>
      <c r="M292" s="61"/>
      <c r="N292" s="61"/>
      <c r="O292" s="61"/>
      <c r="P292" s="61"/>
      <c r="Q292" s="61"/>
      <c r="R292" s="61"/>
      <c r="S292" s="61"/>
      <c r="T292" s="61"/>
      <c r="U292" s="61"/>
      <c r="V292" s="61"/>
      <c r="W292" s="61"/>
      <c r="X292" s="61"/>
      <c r="Y292" s="61"/>
      <c r="Z292" s="61"/>
    </row>
    <row r="293" spans="1:26" ht="409.6">
      <c r="A293" s="194" t="s">
        <v>5830</v>
      </c>
      <c r="B293" s="60" t="s">
        <v>5837</v>
      </c>
      <c r="C293" s="60" t="s">
        <v>5838</v>
      </c>
      <c r="D293" s="60" t="s">
        <v>5839</v>
      </c>
      <c r="E293" s="60" t="s">
        <v>5840</v>
      </c>
      <c r="F293" s="60" t="s">
        <v>46</v>
      </c>
      <c r="G293" s="38" t="s">
        <v>5841</v>
      </c>
      <c r="H293" s="60" t="s">
        <v>5852</v>
      </c>
      <c r="I293" s="60" t="s">
        <v>409</v>
      </c>
      <c r="J293" s="61"/>
      <c r="K293" s="61"/>
      <c r="L293" s="61"/>
      <c r="M293" s="61"/>
      <c r="N293" s="61"/>
      <c r="O293" s="61"/>
      <c r="P293" s="61"/>
      <c r="Q293" s="61"/>
      <c r="R293" s="61"/>
      <c r="S293" s="61"/>
      <c r="T293" s="61"/>
      <c r="U293" s="61"/>
      <c r="V293" s="61"/>
      <c r="W293" s="61"/>
      <c r="X293" s="61"/>
      <c r="Y293" s="61"/>
      <c r="Z293" s="61"/>
    </row>
    <row r="294" spans="1:26" ht="266">
      <c r="A294" s="194" t="s">
        <v>5855</v>
      </c>
      <c r="B294" s="60" t="s">
        <v>5857</v>
      </c>
      <c r="C294" s="60" t="s">
        <v>5858</v>
      </c>
      <c r="D294" s="60" t="s">
        <v>5839</v>
      </c>
      <c r="E294" s="60" t="s">
        <v>5840</v>
      </c>
      <c r="F294" s="60" t="s">
        <v>46</v>
      </c>
      <c r="G294" s="38" t="s">
        <v>5863</v>
      </c>
      <c r="H294" s="60" t="s">
        <v>5872</v>
      </c>
      <c r="I294" s="60" t="s">
        <v>296</v>
      </c>
      <c r="J294" s="61"/>
      <c r="K294" s="61"/>
      <c r="L294" s="61"/>
      <c r="M294" s="61"/>
      <c r="N294" s="61"/>
      <c r="O294" s="61"/>
      <c r="P294" s="61"/>
      <c r="Q294" s="61"/>
      <c r="R294" s="61"/>
      <c r="S294" s="61"/>
      <c r="T294" s="61"/>
      <c r="U294" s="61"/>
      <c r="V294" s="61"/>
      <c r="W294" s="61"/>
      <c r="X294" s="61"/>
      <c r="Y294" s="61"/>
      <c r="Z294" s="61"/>
    </row>
    <row r="295" spans="1:26" ht="42">
      <c r="A295" s="15" t="s">
        <v>5874</v>
      </c>
      <c r="B295" s="60" t="s">
        <v>5876</v>
      </c>
      <c r="C295" s="35" t="s">
        <v>5877</v>
      </c>
      <c r="D295" s="35" t="s">
        <v>5878</v>
      </c>
      <c r="E295" s="35" t="s">
        <v>5530</v>
      </c>
      <c r="F295" s="35" t="s">
        <v>506</v>
      </c>
      <c r="G295" s="195" t="s">
        <v>5882</v>
      </c>
      <c r="H295" s="35" t="s">
        <v>5891</v>
      </c>
      <c r="I295" s="60" t="s">
        <v>433</v>
      </c>
      <c r="J295" s="61"/>
      <c r="K295" s="61"/>
      <c r="L295" s="61"/>
      <c r="M295" s="61"/>
      <c r="N295" s="61"/>
      <c r="O295" s="61"/>
      <c r="P295" s="61"/>
      <c r="Q295" s="61"/>
      <c r="R295" s="61"/>
      <c r="S295" s="61"/>
      <c r="T295" s="61"/>
      <c r="U295" s="61"/>
      <c r="V295" s="61"/>
      <c r="W295" s="61"/>
      <c r="X295" s="61"/>
      <c r="Y295" s="61"/>
    </row>
    <row r="296" spans="1:26" ht="56">
      <c r="A296" s="15" t="s">
        <v>3832</v>
      </c>
      <c r="B296" s="60" t="s">
        <v>5898</v>
      </c>
      <c r="C296" s="35" t="s">
        <v>5899</v>
      </c>
      <c r="D296" s="35" t="s">
        <v>5878</v>
      </c>
      <c r="E296" s="35" t="s">
        <v>5530</v>
      </c>
      <c r="F296" s="35" t="s">
        <v>506</v>
      </c>
      <c r="G296" s="195" t="s">
        <v>5882</v>
      </c>
      <c r="H296" s="35" t="s">
        <v>5891</v>
      </c>
      <c r="I296" s="60" t="s">
        <v>296</v>
      </c>
      <c r="J296" s="61"/>
      <c r="K296" s="61"/>
      <c r="L296" s="61"/>
      <c r="M296" s="61"/>
      <c r="N296" s="61"/>
      <c r="O296" s="61"/>
      <c r="P296" s="61"/>
      <c r="Q296" s="61"/>
      <c r="R296" s="61"/>
      <c r="S296" s="61"/>
      <c r="T296" s="61"/>
      <c r="U296" s="61"/>
      <c r="V296" s="61"/>
      <c r="W296" s="61"/>
      <c r="X296" s="61"/>
      <c r="Y296" s="61"/>
    </row>
    <row r="297" spans="1:26" ht="42">
      <c r="A297" s="15" t="s">
        <v>5911</v>
      </c>
      <c r="B297" s="60" t="s">
        <v>5913</v>
      </c>
      <c r="C297" s="35" t="s">
        <v>5914</v>
      </c>
      <c r="D297" s="35" t="s">
        <v>5878</v>
      </c>
      <c r="E297" s="35" t="s">
        <v>5530</v>
      </c>
      <c r="F297" s="35" t="s">
        <v>506</v>
      </c>
      <c r="G297" s="195" t="s">
        <v>5882</v>
      </c>
      <c r="H297" s="35" t="s">
        <v>5891</v>
      </c>
      <c r="I297" s="60" t="s">
        <v>470</v>
      </c>
      <c r="J297" s="61"/>
      <c r="K297" s="61"/>
      <c r="L297" s="61"/>
      <c r="M297" s="61"/>
      <c r="N297" s="61"/>
      <c r="O297" s="61"/>
      <c r="P297" s="61"/>
      <c r="Q297" s="61"/>
      <c r="R297" s="61"/>
      <c r="S297" s="61"/>
      <c r="T297" s="61"/>
      <c r="U297" s="61"/>
      <c r="V297" s="61"/>
      <c r="W297" s="61"/>
      <c r="X297" s="61"/>
      <c r="Y297" s="61"/>
    </row>
    <row r="298" spans="1:26" ht="42">
      <c r="A298" s="15" t="s">
        <v>5918</v>
      </c>
      <c r="B298" s="60" t="s">
        <v>5919</v>
      </c>
      <c r="C298" s="35" t="s">
        <v>5920</v>
      </c>
      <c r="D298" s="35" t="s">
        <v>5878</v>
      </c>
      <c r="E298" s="35" t="s">
        <v>5530</v>
      </c>
      <c r="F298" s="35" t="s">
        <v>506</v>
      </c>
      <c r="G298" s="195" t="s">
        <v>5882</v>
      </c>
      <c r="H298" s="35" t="s">
        <v>5891</v>
      </c>
      <c r="I298" s="60" t="s">
        <v>161</v>
      </c>
      <c r="J298" s="61"/>
      <c r="K298" s="61"/>
      <c r="L298" s="61"/>
      <c r="M298" s="61"/>
      <c r="N298" s="61"/>
      <c r="O298" s="61"/>
      <c r="P298" s="61"/>
      <c r="Q298" s="61"/>
      <c r="R298" s="61"/>
      <c r="S298" s="61"/>
      <c r="T298" s="61"/>
      <c r="U298" s="61"/>
      <c r="V298" s="61"/>
      <c r="W298" s="61"/>
      <c r="X298" s="61"/>
      <c r="Y298" s="61"/>
    </row>
    <row r="299" spans="1:26" ht="42">
      <c r="A299" s="15" t="s">
        <v>5929</v>
      </c>
      <c r="B299" s="60" t="s">
        <v>5930</v>
      </c>
      <c r="C299" s="35" t="s">
        <v>5931</v>
      </c>
      <c r="D299" s="35" t="s">
        <v>5878</v>
      </c>
      <c r="E299" s="35" t="s">
        <v>5530</v>
      </c>
      <c r="F299" s="35" t="s">
        <v>506</v>
      </c>
      <c r="G299" s="195" t="s">
        <v>5882</v>
      </c>
      <c r="H299" s="35" t="s">
        <v>5891</v>
      </c>
      <c r="I299" s="60" t="s">
        <v>296</v>
      </c>
      <c r="J299" s="61"/>
      <c r="K299" s="61"/>
      <c r="L299" s="61"/>
      <c r="M299" s="61"/>
      <c r="N299" s="61"/>
      <c r="O299" s="61"/>
      <c r="P299" s="61"/>
      <c r="Q299" s="61"/>
      <c r="R299" s="61"/>
      <c r="S299" s="61"/>
      <c r="T299" s="61"/>
      <c r="U299" s="61"/>
      <c r="V299" s="61"/>
      <c r="W299" s="61"/>
      <c r="X299" s="61"/>
      <c r="Y299" s="61"/>
    </row>
    <row r="300" spans="1:26" ht="56">
      <c r="A300" s="15" t="s">
        <v>5945</v>
      </c>
      <c r="B300" s="60" t="s">
        <v>5946</v>
      </c>
      <c r="C300" s="35" t="s">
        <v>5947</v>
      </c>
      <c r="D300" s="35" t="s">
        <v>5878</v>
      </c>
      <c r="E300" s="35" t="s">
        <v>5530</v>
      </c>
      <c r="F300" s="35" t="s">
        <v>506</v>
      </c>
      <c r="G300" s="195" t="s">
        <v>5882</v>
      </c>
      <c r="H300" s="35" t="s">
        <v>5891</v>
      </c>
      <c r="I300" s="60" t="s">
        <v>161</v>
      </c>
      <c r="J300" s="61"/>
      <c r="K300" s="61"/>
      <c r="L300" s="61"/>
      <c r="M300" s="61"/>
      <c r="N300" s="61"/>
      <c r="O300" s="61"/>
      <c r="P300" s="61"/>
      <c r="Q300" s="61"/>
      <c r="R300" s="61"/>
      <c r="S300" s="61"/>
      <c r="T300" s="61"/>
      <c r="U300" s="61"/>
      <c r="V300" s="61"/>
      <c r="W300" s="61"/>
      <c r="X300" s="61"/>
      <c r="Y300" s="61"/>
    </row>
    <row r="301" spans="1:26" ht="42">
      <c r="A301" s="196" t="s">
        <v>5961</v>
      </c>
      <c r="B301" s="132" t="s">
        <v>5967</v>
      </c>
      <c r="C301" s="197" t="s">
        <v>5969</v>
      </c>
      <c r="D301" s="197" t="s">
        <v>5970</v>
      </c>
      <c r="E301" s="197" t="s">
        <v>5971</v>
      </c>
      <c r="F301" s="197" t="s">
        <v>46</v>
      </c>
      <c r="G301" s="198" t="s">
        <v>5974</v>
      </c>
      <c r="H301" s="198" t="s">
        <v>5996</v>
      </c>
      <c r="I301" s="60" t="s">
        <v>32</v>
      </c>
      <c r="J301" s="61"/>
      <c r="K301" s="61"/>
      <c r="L301" s="61"/>
      <c r="M301" s="61"/>
      <c r="N301" s="61"/>
      <c r="O301" s="61"/>
      <c r="P301" s="61"/>
      <c r="Q301" s="61"/>
      <c r="R301" s="61"/>
      <c r="S301" s="61"/>
      <c r="T301" s="61"/>
      <c r="U301" s="61"/>
      <c r="V301" s="61"/>
      <c r="W301" s="61"/>
      <c r="X301" s="61"/>
      <c r="Y301" s="61"/>
      <c r="Z301" s="61"/>
    </row>
    <row r="302" spans="1:26" ht="84">
      <c r="A302" s="196" t="s">
        <v>328</v>
      </c>
      <c r="B302" s="132" t="s">
        <v>6007</v>
      </c>
      <c r="C302" s="197" t="s">
        <v>6009</v>
      </c>
      <c r="D302" s="197" t="s">
        <v>6010</v>
      </c>
      <c r="E302" s="197" t="s">
        <v>5971</v>
      </c>
      <c r="F302" s="197" t="s">
        <v>46</v>
      </c>
      <c r="G302" s="199"/>
      <c r="H302" s="198" t="s">
        <v>5996</v>
      </c>
      <c r="I302" s="60" t="s">
        <v>161</v>
      </c>
      <c r="J302" s="61"/>
      <c r="K302" s="61"/>
      <c r="L302" s="61"/>
      <c r="M302" s="61"/>
      <c r="N302" s="61"/>
      <c r="O302" s="61"/>
      <c r="P302" s="61"/>
      <c r="Q302" s="61"/>
      <c r="R302" s="61"/>
      <c r="S302" s="61"/>
      <c r="T302" s="61"/>
      <c r="U302" s="61"/>
      <c r="V302" s="61"/>
      <c r="W302" s="61"/>
      <c r="X302" s="61"/>
      <c r="Y302" s="61"/>
      <c r="Z302" s="61"/>
    </row>
    <row r="303" spans="1:26" ht="112">
      <c r="A303" s="172" t="s">
        <v>6023</v>
      </c>
      <c r="B303" s="60" t="s">
        <v>6024</v>
      </c>
      <c r="C303" s="60" t="s">
        <v>6025</v>
      </c>
      <c r="D303" s="60" t="s">
        <v>6028</v>
      </c>
      <c r="E303" s="60" t="s">
        <v>5728</v>
      </c>
      <c r="F303" s="60" t="s">
        <v>46</v>
      </c>
      <c r="G303" s="38" t="s">
        <v>6029</v>
      </c>
      <c r="H303" s="60" t="s">
        <v>6039</v>
      </c>
      <c r="I303" s="60" t="s">
        <v>63</v>
      </c>
      <c r="J303" s="61"/>
      <c r="K303" s="61"/>
      <c r="L303" s="61"/>
      <c r="M303" s="61"/>
      <c r="N303" s="61"/>
      <c r="O303" s="61"/>
      <c r="P303" s="61"/>
      <c r="Q303" s="61"/>
      <c r="R303" s="61"/>
      <c r="S303" s="61"/>
      <c r="T303" s="61"/>
      <c r="U303" s="61"/>
      <c r="V303" s="61"/>
      <c r="W303" s="61"/>
      <c r="X303" s="61"/>
      <c r="Y303" s="61"/>
      <c r="Z303" s="61"/>
    </row>
    <row r="304" spans="1:26" ht="182">
      <c r="A304" s="172" t="s">
        <v>6047</v>
      </c>
      <c r="B304" s="60" t="s">
        <v>6048</v>
      </c>
      <c r="C304" s="60" t="s">
        <v>6049</v>
      </c>
      <c r="D304" s="60" t="s">
        <v>6028</v>
      </c>
      <c r="E304" s="60" t="s">
        <v>5728</v>
      </c>
      <c r="F304" s="60" t="s">
        <v>6051</v>
      </c>
      <c r="G304" s="38" t="s">
        <v>6053</v>
      </c>
      <c r="H304" s="60" t="s">
        <v>6039</v>
      </c>
      <c r="I304" s="60" t="s">
        <v>161</v>
      </c>
      <c r="J304" s="61"/>
      <c r="K304" s="61"/>
      <c r="L304" s="61"/>
      <c r="M304" s="61"/>
      <c r="N304" s="61"/>
      <c r="O304" s="61"/>
      <c r="P304" s="61"/>
      <c r="Q304" s="61"/>
      <c r="R304" s="61"/>
      <c r="S304" s="61"/>
      <c r="T304" s="61"/>
      <c r="U304" s="61"/>
      <c r="V304" s="61"/>
      <c r="W304" s="61"/>
      <c r="X304" s="61"/>
      <c r="Y304" s="61"/>
      <c r="Z304" s="61"/>
    </row>
    <row r="305" spans="1:26" ht="182">
      <c r="A305" s="172" t="s">
        <v>6063</v>
      </c>
      <c r="B305" s="60" t="s">
        <v>6048</v>
      </c>
      <c r="C305" s="60" t="s">
        <v>6049</v>
      </c>
      <c r="D305" s="60" t="s">
        <v>6028</v>
      </c>
      <c r="E305" s="60" t="s">
        <v>5728</v>
      </c>
      <c r="F305" s="60" t="s">
        <v>33</v>
      </c>
      <c r="G305" s="38" t="s">
        <v>6067</v>
      </c>
      <c r="H305" s="60" t="s">
        <v>6039</v>
      </c>
      <c r="I305" s="60" t="s">
        <v>161</v>
      </c>
      <c r="J305" s="61"/>
      <c r="K305" s="61"/>
      <c r="L305" s="61"/>
      <c r="M305" s="61"/>
      <c r="N305" s="61"/>
      <c r="O305" s="61"/>
      <c r="P305" s="61"/>
      <c r="Q305" s="61"/>
      <c r="R305" s="61"/>
      <c r="S305" s="61"/>
      <c r="T305" s="61"/>
      <c r="U305" s="61"/>
      <c r="V305" s="61"/>
      <c r="W305" s="61"/>
      <c r="X305" s="61"/>
      <c r="Y305" s="61"/>
      <c r="Z305" s="61"/>
    </row>
    <row r="306" spans="1:26" ht="182">
      <c r="A306" s="172" t="s">
        <v>6079</v>
      </c>
      <c r="B306" s="60" t="s">
        <v>6048</v>
      </c>
      <c r="C306" s="60" t="s">
        <v>6049</v>
      </c>
      <c r="D306" s="60" t="s">
        <v>6028</v>
      </c>
      <c r="E306" s="60" t="s">
        <v>5728</v>
      </c>
      <c r="F306" s="60" t="s">
        <v>506</v>
      </c>
      <c r="G306" s="38" t="s">
        <v>6082</v>
      </c>
      <c r="H306" s="60" t="s">
        <v>6039</v>
      </c>
      <c r="I306" s="60" t="s">
        <v>161</v>
      </c>
      <c r="J306" s="61"/>
      <c r="K306" s="61"/>
      <c r="L306" s="61"/>
      <c r="M306" s="61"/>
      <c r="N306" s="61"/>
      <c r="O306" s="61"/>
      <c r="P306" s="61"/>
      <c r="Q306" s="61"/>
      <c r="R306" s="61"/>
      <c r="S306" s="61"/>
      <c r="T306" s="61"/>
      <c r="U306" s="61"/>
      <c r="V306" s="61"/>
      <c r="W306" s="61"/>
      <c r="X306" s="61"/>
      <c r="Y306" s="61"/>
      <c r="Z306" s="61"/>
    </row>
    <row r="307" spans="1:26" ht="126">
      <c r="A307" s="172" t="s">
        <v>1267</v>
      </c>
      <c r="B307" s="60" t="s">
        <v>6093</v>
      </c>
      <c r="C307" s="60" t="s">
        <v>6094</v>
      </c>
      <c r="D307" s="60" t="s">
        <v>6028</v>
      </c>
      <c r="E307" s="60" t="s">
        <v>5728</v>
      </c>
      <c r="F307" s="60" t="s">
        <v>46</v>
      </c>
      <c r="G307" s="38" t="s">
        <v>6095</v>
      </c>
      <c r="H307" s="60" t="s">
        <v>6039</v>
      </c>
      <c r="I307" s="60" t="s">
        <v>214</v>
      </c>
      <c r="J307" s="61"/>
      <c r="K307" s="61"/>
      <c r="L307" s="61"/>
      <c r="M307" s="61"/>
      <c r="N307" s="61"/>
      <c r="O307" s="61"/>
      <c r="P307" s="61"/>
      <c r="Q307" s="61"/>
      <c r="R307" s="61"/>
      <c r="S307" s="61"/>
      <c r="T307" s="61"/>
      <c r="U307" s="61"/>
      <c r="V307" s="61"/>
      <c r="W307" s="61"/>
      <c r="X307" s="61"/>
      <c r="Y307" s="61"/>
      <c r="Z307" s="61"/>
    </row>
    <row r="308" spans="1:26" ht="42">
      <c r="A308" s="35" t="s">
        <v>4266</v>
      </c>
      <c r="B308" s="60" t="s">
        <v>6103</v>
      </c>
      <c r="C308" s="35" t="s">
        <v>6104</v>
      </c>
      <c r="D308" s="35" t="s">
        <v>6105</v>
      </c>
      <c r="E308" s="35" t="s">
        <v>4445</v>
      </c>
      <c r="F308" s="35" t="s">
        <v>6106</v>
      </c>
      <c r="G308" s="38" t="s">
        <v>6107</v>
      </c>
      <c r="H308" s="35" t="s">
        <v>2919</v>
      </c>
      <c r="I308" s="60" t="s">
        <v>32</v>
      </c>
      <c r="J308" s="61"/>
      <c r="K308" s="61"/>
      <c r="L308" s="61"/>
      <c r="M308" s="61"/>
      <c r="N308" s="61"/>
      <c r="O308" s="61"/>
      <c r="P308" s="61"/>
      <c r="Q308" s="61"/>
      <c r="R308" s="61"/>
      <c r="S308" s="61"/>
      <c r="T308" s="61"/>
      <c r="U308" s="61"/>
      <c r="V308" s="61"/>
      <c r="W308" s="61"/>
      <c r="X308" s="61"/>
      <c r="Y308" s="61"/>
      <c r="Z308" s="61"/>
    </row>
    <row r="309" spans="1:26" ht="56">
      <c r="A309" s="35" t="s">
        <v>307</v>
      </c>
      <c r="B309" s="60" t="s">
        <v>6126</v>
      </c>
      <c r="C309" s="35" t="s">
        <v>6127</v>
      </c>
      <c r="D309" s="35" t="s">
        <v>6105</v>
      </c>
      <c r="E309" s="35" t="s">
        <v>4445</v>
      </c>
      <c r="F309" s="35" t="s">
        <v>6106</v>
      </c>
      <c r="G309" s="38" t="s">
        <v>6128</v>
      </c>
      <c r="H309" s="35" t="s">
        <v>2919</v>
      </c>
      <c r="I309" s="60" t="s">
        <v>214</v>
      </c>
      <c r="J309" s="61"/>
      <c r="K309" s="61"/>
      <c r="L309" s="61"/>
      <c r="M309" s="61"/>
      <c r="N309" s="61"/>
      <c r="O309" s="61"/>
      <c r="P309" s="61"/>
      <c r="Q309" s="61"/>
      <c r="R309" s="61"/>
      <c r="S309" s="61"/>
      <c r="T309" s="61"/>
      <c r="U309" s="61"/>
      <c r="V309" s="61"/>
      <c r="W309" s="61"/>
      <c r="X309" s="61"/>
      <c r="Y309" s="61"/>
      <c r="Z309" s="61"/>
    </row>
    <row r="310" spans="1:26" ht="397">
      <c r="A310" s="72" t="s">
        <v>6139</v>
      </c>
      <c r="B310" s="72" t="s">
        <v>6140</v>
      </c>
      <c r="C310" s="60" t="s">
        <v>6141</v>
      </c>
      <c r="D310" s="72" t="s">
        <v>6143</v>
      </c>
      <c r="E310" s="72" t="s">
        <v>266</v>
      </c>
      <c r="F310" s="72" t="s">
        <v>6144</v>
      </c>
      <c r="G310" s="135" t="s">
        <v>6145</v>
      </c>
      <c r="H310" s="72" t="s">
        <v>6152</v>
      </c>
      <c r="I310" s="60" t="s">
        <v>32</v>
      </c>
      <c r="J310" s="61"/>
      <c r="K310" s="61"/>
      <c r="L310" s="61"/>
      <c r="M310" s="61"/>
      <c r="N310" s="61"/>
      <c r="O310" s="61"/>
      <c r="P310" s="61"/>
      <c r="Q310" s="61"/>
      <c r="R310" s="61"/>
      <c r="S310" s="61"/>
      <c r="T310" s="61"/>
      <c r="U310" s="61"/>
      <c r="V310" s="61"/>
      <c r="W310" s="61"/>
      <c r="X310" s="61"/>
      <c r="Y310" s="61"/>
      <c r="Z310" s="61"/>
    </row>
    <row r="311" spans="1:26" ht="112">
      <c r="A311" s="200" t="s">
        <v>6155</v>
      </c>
      <c r="B311" s="201" t="s">
        <v>6160</v>
      </c>
      <c r="C311" s="202" t="s">
        <v>6161</v>
      </c>
      <c r="D311" s="200" t="s">
        <v>6164</v>
      </c>
      <c r="E311" s="200" t="s">
        <v>6166</v>
      </c>
      <c r="F311" s="200" t="s">
        <v>439</v>
      </c>
      <c r="G311" s="203" t="s">
        <v>6168</v>
      </c>
      <c r="H311" s="203" t="s">
        <v>6177</v>
      </c>
      <c r="I311" s="60" t="s">
        <v>433</v>
      </c>
      <c r="J311" s="61"/>
      <c r="K311" s="61"/>
      <c r="L311" s="61"/>
      <c r="M311" s="61"/>
      <c r="N311" s="61"/>
      <c r="O311" s="61"/>
      <c r="P311" s="61"/>
      <c r="Q311" s="61"/>
      <c r="R311" s="61"/>
      <c r="S311" s="61"/>
      <c r="T311" s="61"/>
      <c r="U311" s="61"/>
      <c r="V311" s="61"/>
      <c r="W311" s="61"/>
      <c r="X311" s="61"/>
      <c r="Y311" s="61"/>
      <c r="Z311" s="61"/>
    </row>
    <row r="312" spans="1:26" ht="112">
      <c r="A312" s="200" t="s">
        <v>6188</v>
      </c>
      <c r="B312" s="201" t="s">
        <v>6160</v>
      </c>
      <c r="C312" s="202" t="s">
        <v>6189</v>
      </c>
      <c r="D312" s="200" t="s">
        <v>6164</v>
      </c>
      <c r="E312" s="200" t="s">
        <v>6166</v>
      </c>
      <c r="F312" s="200" t="s">
        <v>439</v>
      </c>
      <c r="G312" s="204" t="s">
        <v>6190</v>
      </c>
      <c r="H312" s="203" t="s">
        <v>6177</v>
      </c>
      <c r="I312" s="60" t="s">
        <v>433</v>
      </c>
      <c r="J312" s="61"/>
      <c r="K312" s="61"/>
      <c r="L312" s="61"/>
      <c r="M312" s="61"/>
      <c r="N312" s="61"/>
      <c r="O312" s="61"/>
      <c r="P312" s="61"/>
      <c r="Q312" s="61"/>
      <c r="R312" s="61"/>
      <c r="S312" s="61"/>
      <c r="T312" s="61"/>
      <c r="U312" s="61"/>
      <c r="V312" s="61"/>
      <c r="W312" s="61"/>
      <c r="X312" s="61"/>
      <c r="Y312" s="61"/>
      <c r="Z312" s="61"/>
    </row>
    <row r="313" spans="1:26" ht="176">
      <c r="A313" s="205" t="s">
        <v>6211</v>
      </c>
      <c r="B313" s="131" t="s">
        <v>6215</v>
      </c>
      <c r="C313" s="131" t="s">
        <v>6216</v>
      </c>
      <c r="D313" s="165" t="s">
        <v>6217</v>
      </c>
      <c r="E313" s="131" t="s">
        <v>6218</v>
      </c>
      <c r="F313" s="165" t="s">
        <v>189</v>
      </c>
      <c r="G313" s="206" t="s">
        <v>6219</v>
      </c>
      <c r="H313" s="207" t="s">
        <v>6223</v>
      </c>
      <c r="I313" s="60" t="s">
        <v>326</v>
      </c>
      <c r="J313" s="61"/>
      <c r="K313" s="61"/>
      <c r="L313" s="61"/>
      <c r="M313" s="61"/>
      <c r="N313" s="61"/>
      <c r="O313" s="61"/>
      <c r="P313" s="61"/>
      <c r="Q313" s="61"/>
      <c r="R313" s="61"/>
      <c r="S313" s="61"/>
      <c r="T313" s="61"/>
      <c r="U313" s="61"/>
      <c r="V313" s="61"/>
      <c r="W313" s="61"/>
      <c r="X313" s="61"/>
      <c r="Y313" s="61"/>
      <c r="Z313" s="61"/>
    </row>
    <row r="314" spans="1:26" ht="192">
      <c r="A314" s="205" t="s">
        <v>1839</v>
      </c>
      <c r="B314" s="131" t="s">
        <v>6234</v>
      </c>
      <c r="C314" s="131" t="s">
        <v>6235</v>
      </c>
      <c r="D314" s="165" t="s">
        <v>6217</v>
      </c>
      <c r="E314" s="131" t="s">
        <v>6218</v>
      </c>
      <c r="F314" s="165" t="s">
        <v>189</v>
      </c>
      <c r="G314" s="206" t="s">
        <v>6219</v>
      </c>
      <c r="H314" s="207" t="s">
        <v>6223</v>
      </c>
      <c r="I314" s="60" t="s">
        <v>326</v>
      </c>
      <c r="J314" s="61"/>
      <c r="K314" s="61"/>
      <c r="L314" s="61"/>
      <c r="M314" s="61"/>
      <c r="N314" s="61"/>
      <c r="O314" s="61"/>
      <c r="P314" s="61"/>
      <c r="Q314" s="61"/>
      <c r="R314" s="61"/>
      <c r="S314" s="61"/>
      <c r="T314" s="61"/>
      <c r="U314" s="61"/>
      <c r="V314" s="61"/>
      <c r="W314" s="61"/>
      <c r="X314" s="61"/>
      <c r="Y314" s="61"/>
      <c r="Z314" s="61"/>
    </row>
    <row r="315" spans="1:26" ht="196">
      <c r="A315" s="60" t="s">
        <v>6245</v>
      </c>
      <c r="B315" s="60" t="s">
        <v>6248</v>
      </c>
      <c r="C315" s="60" t="s">
        <v>6249</v>
      </c>
      <c r="D315" s="60" t="s">
        <v>6250</v>
      </c>
      <c r="E315" s="60" t="s">
        <v>6251</v>
      </c>
      <c r="F315" s="60" t="s">
        <v>46</v>
      </c>
      <c r="G315" s="179"/>
      <c r="H315" s="60" t="s">
        <v>6252</v>
      </c>
      <c r="I315" s="60" t="s">
        <v>32</v>
      </c>
      <c r="J315" s="61"/>
      <c r="K315" s="61"/>
      <c r="L315" s="61"/>
      <c r="M315" s="61"/>
      <c r="N315" s="61"/>
      <c r="O315" s="61"/>
      <c r="P315" s="61"/>
      <c r="Q315" s="61"/>
      <c r="R315" s="61"/>
      <c r="S315" s="61"/>
      <c r="T315" s="61"/>
      <c r="U315" s="61"/>
      <c r="V315" s="61"/>
      <c r="W315" s="61"/>
      <c r="X315" s="61"/>
      <c r="Y315" s="61"/>
      <c r="Z315" s="61"/>
    </row>
    <row r="316" spans="1:26" ht="224">
      <c r="A316" s="60" t="s">
        <v>6259</v>
      </c>
      <c r="B316" s="60" t="s">
        <v>6260</v>
      </c>
      <c r="C316" s="60" t="s">
        <v>6261</v>
      </c>
      <c r="D316" s="60" t="s">
        <v>6250</v>
      </c>
      <c r="E316" s="60" t="s">
        <v>6251</v>
      </c>
      <c r="F316" s="60" t="s">
        <v>46</v>
      </c>
      <c r="G316" s="179"/>
      <c r="H316" s="60" t="s">
        <v>6252</v>
      </c>
      <c r="I316" s="60" t="s">
        <v>296</v>
      </c>
      <c r="J316" s="61"/>
      <c r="K316" s="61"/>
      <c r="L316" s="61"/>
      <c r="M316" s="61"/>
      <c r="N316" s="61"/>
      <c r="O316" s="61"/>
      <c r="P316" s="61"/>
      <c r="Q316" s="61"/>
      <c r="R316" s="61"/>
      <c r="S316" s="61"/>
      <c r="T316" s="61"/>
      <c r="U316" s="61"/>
      <c r="V316" s="61"/>
      <c r="W316" s="61"/>
      <c r="X316" s="61"/>
      <c r="Y316" s="61"/>
      <c r="Z316" s="61"/>
    </row>
    <row r="317" spans="1:26" ht="64">
      <c r="A317" s="200" t="s">
        <v>6268</v>
      </c>
      <c r="B317" s="201" t="s">
        <v>6269</v>
      </c>
      <c r="C317" s="166" t="s">
        <v>6270</v>
      </c>
      <c r="D317" s="200" t="s">
        <v>6271</v>
      </c>
      <c r="E317" s="200" t="s">
        <v>5585</v>
      </c>
      <c r="F317" s="200" t="s">
        <v>46</v>
      </c>
      <c r="G317" s="202" t="s">
        <v>6272</v>
      </c>
      <c r="H317" s="203" t="s">
        <v>6274</v>
      </c>
      <c r="I317" s="200" t="s">
        <v>32</v>
      </c>
      <c r="J317" s="61"/>
      <c r="K317" s="61"/>
      <c r="L317" s="61"/>
      <c r="M317" s="61"/>
      <c r="N317" s="61"/>
      <c r="O317" s="61"/>
      <c r="P317" s="61"/>
      <c r="Q317" s="61"/>
      <c r="R317" s="61"/>
      <c r="S317" s="61"/>
      <c r="T317" s="61"/>
      <c r="U317" s="61"/>
      <c r="V317" s="61"/>
      <c r="W317" s="61"/>
      <c r="X317" s="61"/>
      <c r="Y317" s="61"/>
      <c r="Z317" s="61"/>
    </row>
    <row r="318" spans="1:26" ht="128">
      <c r="A318" s="200" t="s">
        <v>6289</v>
      </c>
      <c r="B318" s="201" t="s">
        <v>6291</v>
      </c>
      <c r="C318" s="202" t="s">
        <v>6295</v>
      </c>
      <c r="D318" s="200" t="s">
        <v>6271</v>
      </c>
      <c r="E318" s="200" t="s">
        <v>5585</v>
      </c>
      <c r="F318" s="200" t="s">
        <v>46</v>
      </c>
      <c r="G318" s="203" t="s">
        <v>6296</v>
      </c>
      <c r="H318" s="203" t="s">
        <v>6274</v>
      </c>
      <c r="I318" s="200" t="s">
        <v>32</v>
      </c>
      <c r="J318" s="61"/>
      <c r="K318" s="61"/>
      <c r="L318" s="61"/>
      <c r="M318" s="61"/>
      <c r="N318" s="61"/>
      <c r="O318" s="61"/>
      <c r="P318" s="61"/>
      <c r="Q318" s="61"/>
      <c r="R318" s="61"/>
      <c r="S318" s="61"/>
      <c r="T318" s="61"/>
      <c r="U318" s="61"/>
      <c r="V318" s="61"/>
      <c r="W318" s="61"/>
      <c r="X318" s="61"/>
      <c r="Y318" s="61"/>
      <c r="Z318" s="61"/>
    </row>
    <row r="319" spans="1:26" ht="144">
      <c r="A319" s="200" t="s">
        <v>6322</v>
      </c>
      <c r="B319" s="201" t="s">
        <v>6326</v>
      </c>
      <c r="C319" s="166" t="s">
        <v>6328</v>
      </c>
      <c r="D319" s="200" t="s">
        <v>6271</v>
      </c>
      <c r="E319" s="200" t="s">
        <v>5585</v>
      </c>
      <c r="F319" s="209" t="s">
        <v>46</v>
      </c>
      <c r="G319" s="210" t="s">
        <v>6331</v>
      </c>
      <c r="H319" s="210" t="s">
        <v>6342</v>
      </c>
      <c r="I319" s="200" t="s">
        <v>63</v>
      </c>
      <c r="J319" s="61"/>
      <c r="K319" s="61"/>
      <c r="L319" s="61"/>
      <c r="M319" s="61"/>
      <c r="N319" s="61"/>
      <c r="O319" s="61"/>
      <c r="P319" s="61"/>
      <c r="Q319" s="61"/>
      <c r="R319" s="61"/>
      <c r="S319" s="61"/>
      <c r="T319" s="61"/>
      <c r="U319" s="61"/>
      <c r="V319" s="61"/>
      <c r="W319" s="61"/>
      <c r="X319" s="61"/>
      <c r="Y319" s="61"/>
      <c r="Z319" s="61"/>
    </row>
    <row r="320" spans="1:26" ht="32">
      <c r="A320" s="200" t="s">
        <v>6354</v>
      </c>
      <c r="B320" s="131" t="s">
        <v>6356</v>
      </c>
      <c r="C320" s="166" t="s">
        <v>6359</v>
      </c>
      <c r="D320" s="200" t="s">
        <v>6271</v>
      </c>
      <c r="E320" s="200" t="s">
        <v>5585</v>
      </c>
      <c r="F320" s="200" t="s">
        <v>46</v>
      </c>
      <c r="G320" s="203" t="s">
        <v>6363</v>
      </c>
      <c r="H320" s="203" t="s">
        <v>6371</v>
      </c>
      <c r="I320" s="200" t="s">
        <v>470</v>
      </c>
      <c r="J320" s="61"/>
      <c r="K320" s="61"/>
      <c r="L320" s="61"/>
      <c r="M320" s="61"/>
      <c r="N320" s="61"/>
      <c r="O320" s="61"/>
      <c r="P320" s="61"/>
      <c r="Q320" s="61"/>
      <c r="R320" s="61"/>
      <c r="S320" s="61"/>
      <c r="T320" s="61"/>
      <c r="U320" s="61"/>
      <c r="V320" s="61"/>
      <c r="W320" s="61"/>
      <c r="X320" s="61"/>
      <c r="Y320" s="61"/>
      <c r="Z320" s="61"/>
    </row>
    <row r="321" spans="1:26" ht="48">
      <c r="A321" s="200" t="s">
        <v>6386</v>
      </c>
      <c r="B321" s="131" t="s">
        <v>6387</v>
      </c>
      <c r="C321" s="166" t="s">
        <v>6388</v>
      </c>
      <c r="D321" s="200" t="s">
        <v>6271</v>
      </c>
      <c r="E321" s="200" t="s">
        <v>5585</v>
      </c>
      <c r="F321" s="200" t="s">
        <v>46</v>
      </c>
      <c r="G321" s="203" t="s">
        <v>6389</v>
      </c>
      <c r="H321" s="203" t="s">
        <v>6371</v>
      </c>
      <c r="I321" s="200" t="s">
        <v>326</v>
      </c>
      <c r="J321" s="61"/>
      <c r="K321" s="61"/>
      <c r="L321" s="61"/>
      <c r="M321" s="61"/>
      <c r="N321" s="61"/>
      <c r="O321" s="61"/>
      <c r="P321" s="61"/>
      <c r="Q321" s="61"/>
      <c r="R321" s="61"/>
      <c r="S321" s="61"/>
      <c r="T321" s="61"/>
      <c r="U321" s="61"/>
      <c r="V321" s="61"/>
      <c r="W321" s="61"/>
      <c r="X321" s="61"/>
      <c r="Y321" s="61"/>
      <c r="Z321" s="61"/>
    </row>
    <row r="322" spans="1:26" ht="96">
      <c r="A322" s="211" t="s">
        <v>6399</v>
      </c>
      <c r="B322" s="151" t="s">
        <v>6405</v>
      </c>
      <c r="C322" s="212" t="s">
        <v>6406</v>
      </c>
      <c r="D322" s="200" t="s">
        <v>6271</v>
      </c>
      <c r="E322" s="200" t="s">
        <v>5585</v>
      </c>
      <c r="F322" s="211" t="s">
        <v>46</v>
      </c>
      <c r="G322" s="213" t="s">
        <v>6408</v>
      </c>
      <c r="H322" s="213" t="s">
        <v>6420</v>
      </c>
      <c r="I322" s="211" t="s">
        <v>326</v>
      </c>
      <c r="J322" s="61"/>
      <c r="K322" s="61"/>
      <c r="L322" s="61"/>
      <c r="M322" s="61"/>
      <c r="N322" s="61"/>
      <c r="O322" s="61"/>
      <c r="P322" s="61"/>
      <c r="Q322" s="61"/>
      <c r="R322" s="61"/>
      <c r="S322" s="61"/>
      <c r="T322" s="61"/>
      <c r="U322" s="61"/>
      <c r="V322" s="61"/>
      <c r="W322" s="61"/>
      <c r="X322" s="61"/>
      <c r="Y322" s="61"/>
      <c r="Z322" s="61"/>
    </row>
    <row r="323" spans="1:26" ht="154">
      <c r="A323" s="214" t="s">
        <v>6431</v>
      </c>
      <c r="B323" s="60" t="s">
        <v>6435</v>
      </c>
      <c r="C323" s="35" t="s">
        <v>6436</v>
      </c>
      <c r="D323" s="214" t="s">
        <v>6437</v>
      </c>
      <c r="E323" s="214" t="s">
        <v>667</v>
      </c>
      <c r="F323" s="214" t="s">
        <v>33</v>
      </c>
      <c r="G323" s="215" t="s">
        <v>6438</v>
      </c>
      <c r="H323" s="216" t="s">
        <v>6451</v>
      </c>
      <c r="I323" s="214" t="s">
        <v>394</v>
      </c>
      <c r="J323" s="61"/>
      <c r="K323" s="61"/>
      <c r="L323" s="61"/>
      <c r="M323" s="61"/>
      <c r="N323" s="61"/>
      <c r="O323" s="61"/>
      <c r="P323" s="61"/>
      <c r="Q323" s="61"/>
      <c r="R323" s="61"/>
      <c r="S323" s="61"/>
      <c r="T323" s="61"/>
      <c r="U323" s="61"/>
      <c r="V323" s="61"/>
      <c r="W323" s="61"/>
      <c r="X323" s="61"/>
      <c r="Y323" s="61"/>
      <c r="Z323" s="61"/>
    </row>
    <row r="324" spans="1:26" ht="168">
      <c r="A324" s="172" t="s">
        <v>2312</v>
      </c>
      <c r="B324" s="72" t="s">
        <v>6461</v>
      </c>
      <c r="C324" s="72" t="s">
        <v>6462</v>
      </c>
      <c r="D324" s="217" t="s">
        <v>6463</v>
      </c>
      <c r="E324" s="217" t="s">
        <v>6465</v>
      </c>
      <c r="F324" s="60" t="s">
        <v>33</v>
      </c>
      <c r="G324" s="218" t="s">
        <v>6472</v>
      </c>
      <c r="H324" s="60" t="s">
        <v>6481</v>
      </c>
      <c r="I324" s="60" t="s">
        <v>409</v>
      </c>
      <c r="J324" s="61"/>
      <c r="K324" s="61"/>
      <c r="L324" s="61"/>
      <c r="M324" s="61"/>
      <c r="N324" s="61"/>
      <c r="O324" s="61"/>
      <c r="P324" s="61"/>
      <c r="Q324" s="61"/>
      <c r="R324" s="61"/>
      <c r="S324" s="61"/>
      <c r="T324" s="61"/>
      <c r="U324" s="61"/>
      <c r="V324" s="61"/>
      <c r="W324" s="61"/>
      <c r="X324" s="61"/>
      <c r="Y324" s="61"/>
      <c r="Z324" s="61"/>
    </row>
    <row r="325" spans="1:26" ht="112">
      <c r="A325" s="172" t="s">
        <v>1920</v>
      </c>
      <c r="B325" s="72" t="s">
        <v>6489</v>
      </c>
      <c r="C325" s="72" t="s">
        <v>6490</v>
      </c>
      <c r="D325" s="217" t="s">
        <v>6463</v>
      </c>
      <c r="E325" s="217" t="s">
        <v>6465</v>
      </c>
      <c r="F325" s="60" t="s">
        <v>33</v>
      </c>
      <c r="G325" s="219" t="s">
        <v>6491</v>
      </c>
      <c r="H325" s="60" t="s">
        <v>6481</v>
      </c>
      <c r="I325" s="60" t="s">
        <v>409</v>
      </c>
      <c r="J325" s="61"/>
      <c r="K325" s="61"/>
      <c r="L325" s="61"/>
      <c r="M325" s="61"/>
      <c r="N325" s="61"/>
      <c r="O325" s="61"/>
      <c r="P325" s="61"/>
      <c r="Q325" s="61"/>
      <c r="R325" s="61"/>
      <c r="S325" s="61"/>
      <c r="T325" s="61"/>
      <c r="U325" s="61"/>
      <c r="V325" s="61"/>
      <c r="W325" s="61"/>
      <c r="X325" s="61"/>
      <c r="Y325" s="61"/>
      <c r="Z325" s="61"/>
    </row>
    <row r="326" spans="1:26" ht="70">
      <c r="A326" s="220" t="s">
        <v>6497</v>
      </c>
      <c r="B326" s="72" t="s">
        <v>6501</v>
      </c>
      <c r="C326" s="72" t="s">
        <v>6503</v>
      </c>
      <c r="D326" s="217" t="s">
        <v>6463</v>
      </c>
      <c r="E326" s="217" t="s">
        <v>6465</v>
      </c>
      <c r="F326" s="60" t="s">
        <v>33</v>
      </c>
      <c r="G326" s="219" t="s">
        <v>6507</v>
      </c>
      <c r="H326" s="60" t="s">
        <v>6481</v>
      </c>
      <c r="I326" s="60" t="s">
        <v>409</v>
      </c>
      <c r="J326" s="61"/>
      <c r="K326" s="61"/>
      <c r="L326" s="61"/>
      <c r="M326" s="61"/>
      <c r="N326" s="61"/>
      <c r="O326" s="61"/>
      <c r="P326" s="61"/>
      <c r="Q326" s="61"/>
      <c r="R326" s="61"/>
      <c r="S326" s="61"/>
      <c r="T326" s="61"/>
      <c r="U326" s="61"/>
      <c r="V326" s="61"/>
      <c r="W326" s="61"/>
      <c r="X326" s="61"/>
      <c r="Y326" s="61"/>
      <c r="Z326" s="61"/>
    </row>
    <row r="327" spans="1:26" ht="70">
      <c r="A327" s="172" t="s">
        <v>6517</v>
      </c>
      <c r="B327" s="72" t="s">
        <v>6519</v>
      </c>
      <c r="C327" s="60" t="s">
        <v>6521</v>
      </c>
      <c r="D327" s="217" t="s">
        <v>6463</v>
      </c>
      <c r="E327" s="217" t="s">
        <v>6465</v>
      </c>
      <c r="F327" s="60" t="s">
        <v>33</v>
      </c>
      <c r="G327" s="219" t="s">
        <v>6523</v>
      </c>
      <c r="H327" s="60" t="s">
        <v>6481</v>
      </c>
      <c r="I327" s="60" t="s">
        <v>32</v>
      </c>
      <c r="J327" s="61"/>
      <c r="K327" s="61"/>
      <c r="L327" s="61"/>
      <c r="M327" s="61"/>
      <c r="N327" s="61"/>
      <c r="O327" s="61"/>
      <c r="P327" s="61"/>
      <c r="Q327" s="61"/>
      <c r="R327" s="61"/>
      <c r="S327" s="61"/>
      <c r="T327" s="61"/>
      <c r="U327" s="61"/>
      <c r="V327" s="61"/>
      <c r="W327" s="61"/>
      <c r="X327" s="61"/>
      <c r="Y327" s="61"/>
      <c r="Z327" s="61"/>
    </row>
    <row r="328" spans="1:26" ht="85">
      <c r="A328" s="172" t="s">
        <v>6532</v>
      </c>
      <c r="B328" s="60" t="s">
        <v>6533</v>
      </c>
      <c r="C328" s="60" t="s">
        <v>6534</v>
      </c>
      <c r="D328" s="221" t="s">
        <v>6535</v>
      </c>
      <c r="E328" s="222" t="s">
        <v>6547</v>
      </c>
      <c r="F328" s="60" t="s">
        <v>33</v>
      </c>
      <c r="G328" s="38" t="s">
        <v>6552</v>
      </c>
      <c r="H328" s="60" t="s">
        <v>6562</v>
      </c>
      <c r="I328" s="60" t="s">
        <v>32</v>
      </c>
      <c r="J328" s="61"/>
      <c r="K328" s="61"/>
      <c r="L328" s="61"/>
      <c r="M328" s="61"/>
      <c r="N328" s="61"/>
      <c r="O328" s="61"/>
      <c r="P328" s="61"/>
      <c r="Q328" s="61"/>
      <c r="R328" s="61"/>
      <c r="S328" s="61"/>
      <c r="T328" s="61"/>
      <c r="U328" s="61"/>
      <c r="V328" s="61"/>
      <c r="W328" s="61"/>
      <c r="X328" s="61"/>
      <c r="Y328" s="61"/>
      <c r="Z328" s="61"/>
    </row>
    <row r="329" spans="1:26" ht="85">
      <c r="A329" s="172" t="s">
        <v>6569</v>
      </c>
      <c r="B329" s="60" t="s">
        <v>6570</v>
      </c>
      <c r="C329" s="60" t="s">
        <v>6571</v>
      </c>
      <c r="D329" s="221" t="s">
        <v>6535</v>
      </c>
      <c r="E329" s="222" t="s">
        <v>6547</v>
      </c>
      <c r="F329" s="60" t="s">
        <v>33</v>
      </c>
      <c r="G329" s="38" t="s">
        <v>6552</v>
      </c>
      <c r="H329" s="60" t="s">
        <v>6562</v>
      </c>
      <c r="I329" s="60" t="s">
        <v>32</v>
      </c>
      <c r="J329" s="61"/>
      <c r="K329" s="61"/>
      <c r="L329" s="61"/>
      <c r="M329" s="61"/>
      <c r="N329" s="61"/>
      <c r="O329" s="61"/>
      <c r="P329" s="61"/>
      <c r="Q329" s="61"/>
      <c r="R329" s="61"/>
      <c r="S329" s="61"/>
      <c r="T329" s="61"/>
      <c r="U329" s="61"/>
      <c r="V329" s="61"/>
      <c r="W329" s="61"/>
      <c r="X329" s="61"/>
      <c r="Y329" s="61"/>
      <c r="Z329" s="61"/>
    </row>
    <row r="330" spans="1:26" ht="112">
      <c r="A330" s="223" t="s">
        <v>2777</v>
      </c>
      <c r="B330" s="224" t="s">
        <v>6589</v>
      </c>
      <c r="C330" s="212" t="s">
        <v>6593</v>
      </c>
      <c r="D330" s="222" t="s">
        <v>6594</v>
      </c>
      <c r="E330" s="222" t="s">
        <v>6547</v>
      </c>
      <c r="F330" s="222" t="s">
        <v>46</v>
      </c>
      <c r="G330" s="225" t="s">
        <v>6596</v>
      </c>
      <c r="H330" s="226" t="s">
        <v>6611</v>
      </c>
      <c r="I330" s="222" t="s">
        <v>32</v>
      </c>
      <c r="J330" s="61"/>
      <c r="K330" s="61"/>
      <c r="L330" s="61"/>
      <c r="M330" s="61"/>
      <c r="N330" s="61"/>
      <c r="O330" s="61"/>
      <c r="P330" s="61"/>
      <c r="Q330" s="61"/>
      <c r="R330" s="61"/>
      <c r="S330" s="61"/>
      <c r="T330" s="61"/>
      <c r="U330" s="61"/>
      <c r="V330" s="61"/>
      <c r="W330" s="61"/>
      <c r="X330" s="61"/>
      <c r="Y330" s="61"/>
      <c r="Z330" s="61"/>
    </row>
    <row r="331" spans="1:26" ht="80">
      <c r="A331" s="223" t="s">
        <v>6612</v>
      </c>
      <c r="B331" s="224" t="s">
        <v>6613</v>
      </c>
      <c r="C331" s="212" t="s">
        <v>6615</v>
      </c>
      <c r="D331" s="222" t="s">
        <v>6594</v>
      </c>
      <c r="E331" s="222" t="s">
        <v>6547</v>
      </c>
      <c r="F331" s="222" t="s">
        <v>46</v>
      </c>
      <c r="G331" s="225" t="s">
        <v>6618</v>
      </c>
      <c r="H331" s="226" t="s">
        <v>6611</v>
      </c>
      <c r="I331" s="222" t="s">
        <v>32</v>
      </c>
      <c r="J331" s="61"/>
      <c r="K331" s="61"/>
      <c r="L331" s="61"/>
      <c r="M331" s="61"/>
      <c r="N331" s="61"/>
      <c r="O331" s="61"/>
      <c r="P331" s="61"/>
      <c r="Q331" s="61"/>
      <c r="R331" s="61"/>
      <c r="S331" s="61"/>
      <c r="T331" s="61"/>
      <c r="U331" s="61"/>
      <c r="V331" s="61"/>
      <c r="W331" s="61"/>
      <c r="X331" s="61"/>
      <c r="Y331" s="61"/>
      <c r="Z331" s="61"/>
    </row>
    <row r="332" spans="1:26" ht="80">
      <c r="A332" s="223" t="s">
        <v>6633</v>
      </c>
      <c r="B332" s="224" t="s">
        <v>6635</v>
      </c>
      <c r="C332" s="212" t="s">
        <v>6637</v>
      </c>
      <c r="D332" s="222" t="s">
        <v>6594</v>
      </c>
      <c r="E332" s="222" t="s">
        <v>6547</v>
      </c>
      <c r="F332" s="222" t="s">
        <v>46</v>
      </c>
      <c r="G332" s="227" t="s">
        <v>6642</v>
      </c>
      <c r="H332" s="226" t="s">
        <v>6611</v>
      </c>
      <c r="I332" s="222" t="s">
        <v>32</v>
      </c>
      <c r="J332" s="61"/>
      <c r="K332" s="61"/>
      <c r="L332" s="61"/>
      <c r="M332" s="61"/>
      <c r="N332" s="61"/>
      <c r="O332" s="61"/>
      <c r="P332" s="61"/>
      <c r="Q332" s="61"/>
      <c r="R332" s="61"/>
      <c r="S332" s="61"/>
      <c r="T332" s="61"/>
      <c r="U332" s="61"/>
      <c r="V332" s="61"/>
      <c r="W332" s="61"/>
      <c r="X332" s="61"/>
      <c r="Y332" s="61"/>
      <c r="Z332" s="61"/>
    </row>
    <row r="333" spans="1:26" ht="350">
      <c r="A333" s="223" t="s">
        <v>6663</v>
      </c>
      <c r="B333" s="224" t="s">
        <v>6664</v>
      </c>
      <c r="C333" s="212" t="s">
        <v>6665</v>
      </c>
      <c r="D333" s="222" t="s">
        <v>6594</v>
      </c>
      <c r="E333" s="222" t="s">
        <v>6547</v>
      </c>
      <c r="F333" s="222" t="s">
        <v>46</v>
      </c>
      <c r="G333" s="225" t="s">
        <v>6666</v>
      </c>
      <c r="H333" s="226" t="s">
        <v>6611</v>
      </c>
      <c r="I333" s="222" t="s">
        <v>32</v>
      </c>
      <c r="J333" s="61"/>
      <c r="K333" s="61"/>
      <c r="L333" s="61"/>
      <c r="M333" s="61"/>
      <c r="N333" s="61"/>
      <c r="O333" s="61"/>
      <c r="P333" s="61"/>
      <c r="Q333" s="61"/>
      <c r="R333" s="61"/>
      <c r="S333" s="61"/>
      <c r="T333" s="61"/>
      <c r="U333" s="61"/>
      <c r="V333" s="61"/>
      <c r="W333" s="61"/>
      <c r="X333" s="61"/>
      <c r="Y333" s="61"/>
      <c r="Z333" s="61"/>
    </row>
    <row r="334" spans="1:26" ht="64">
      <c r="A334" s="223" t="s">
        <v>6679</v>
      </c>
      <c r="B334" s="224" t="s">
        <v>6680</v>
      </c>
      <c r="C334" s="212" t="s">
        <v>6681</v>
      </c>
      <c r="D334" s="222" t="s">
        <v>6594</v>
      </c>
      <c r="E334" s="222" t="s">
        <v>6547</v>
      </c>
      <c r="F334" s="222" t="s">
        <v>46</v>
      </c>
      <c r="G334" s="227" t="s">
        <v>6682</v>
      </c>
      <c r="H334" s="226" t="s">
        <v>6611</v>
      </c>
      <c r="I334" s="222" t="s">
        <v>32</v>
      </c>
      <c r="J334" s="61"/>
      <c r="K334" s="61"/>
      <c r="L334" s="61"/>
      <c r="M334" s="61"/>
      <c r="N334" s="61"/>
      <c r="O334" s="61"/>
      <c r="P334" s="61"/>
      <c r="Q334" s="61"/>
      <c r="R334" s="61"/>
      <c r="S334" s="61"/>
      <c r="T334" s="61"/>
      <c r="U334" s="61"/>
      <c r="V334" s="61"/>
      <c r="W334" s="61"/>
      <c r="X334" s="61"/>
      <c r="Y334" s="61"/>
      <c r="Z334" s="61"/>
    </row>
    <row r="335" spans="1:26" ht="80">
      <c r="A335" s="223" t="s">
        <v>6692</v>
      </c>
      <c r="B335" s="224" t="s">
        <v>6693</v>
      </c>
      <c r="C335" s="212" t="s">
        <v>6694</v>
      </c>
      <c r="D335" s="222" t="s">
        <v>6594</v>
      </c>
      <c r="E335" s="222" t="s">
        <v>6547</v>
      </c>
      <c r="F335" s="222" t="s">
        <v>46</v>
      </c>
      <c r="G335" s="227" t="s">
        <v>6695</v>
      </c>
      <c r="H335" s="226" t="s">
        <v>6611</v>
      </c>
      <c r="I335" s="222" t="s">
        <v>32</v>
      </c>
      <c r="J335" s="61"/>
      <c r="K335" s="61"/>
      <c r="L335" s="61"/>
      <c r="M335" s="61"/>
      <c r="N335" s="61"/>
      <c r="O335" s="61"/>
      <c r="P335" s="61"/>
      <c r="Q335" s="61"/>
      <c r="R335" s="61"/>
      <c r="S335" s="61"/>
      <c r="T335" s="61"/>
      <c r="U335" s="61"/>
      <c r="V335" s="61"/>
      <c r="W335" s="61"/>
      <c r="X335" s="61"/>
      <c r="Y335" s="61"/>
      <c r="Z335" s="61"/>
    </row>
    <row r="336" spans="1:26" ht="85">
      <c r="A336" s="228" t="s">
        <v>6707</v>
      </c>
      <c r="B336" s="60" t="s">
        <v>6713</v>
      </c>
      <c r="C336" s="60" t="s">
        <v>6714</v>
      </c>
      <c r="D336" s="221" t="s">
        <v>6535</v>
      </c>
      <c r="E336" s="222" t="s">
        <v>6547</v>
      </c>
      <c r="F336" s="60" t="s">
        <v>33</v>
      </c>
      <c r="G336" s="179"/>
      <c r="H336" s="60" t="s">
        <v>6562</v>
      </c>
      <c r="I336" s="60" t="s">
        <v>32</v>
      </c>
      <c r="J336" s="61"/>
      <c r="K336" s="61"/>
      <c r="L336" s="61"/>
      <c r="M336" s="61"/>
      <c r="N336" s="61"/>
      <c r="O336" s="61"/>
      <c r="P336" s="61"/>
      <c r="Q336" s="61"/>
      <c r="R336" s="61"/>
      <c r="S336" s="61"/>
      <c r="T336" s="61"/>
      <c r="U336" s="61"/>
      <c r="V336" s="61"/>
      <c r="W336" s="61"/>
      <c r="X336" s="61"/>
      <c r="Y336" s="61"/>
      <c r="Z336" s="61"/>
    </row>
    <row r="337" spans="1:26" ht="99">
      <c r="A337" s="172" t="s">
        <v>4632</v>
      </c>
      <c r="B337" s="60" t="s">
        <v>6723</v>
      </c>
      <c r="C337" s="60" t="s">
        <v>6724</v>
      </c>
      <c r="D337" s="221" t="s">
        <v>6535</v>
      </c>
      <c r="E337" s="222" t="s">
        <v>6547</v>
      </c>
      <c r="F337" s="60" t="s">
        <v>33</v>
      </c>
      <c r="G337" s="179"/>
      <c r="H337" s="60" t="s">
        <v>6562</v>
      </c>
      <c r="I337" s="60" t="s">
        <v>32</v>
      </c>
      <c r="J337" s="61"/>
      <c r="K337" s="61"/>
      <c r="L337" s="61"/>
      <c r="M337" s="61"/>
      <c r="N337" s="61"/>
      <c r="O337" s="61"/>
      <c r="P337" s="61"/>
      <c r="Q337" s="61"/>
      <c r="R337" s="61"/>
      <c r="S337" s="61"/>
      <c r="T337" s="61"/>
      <c r="U337" s="61"/>
      <c r="V337" s="61"/>
      <c r="W337" s="61"/>
      <c r="X337" s="61"/>
      <c r="Y337" s="61"/>
      <c r="Z337" s="61"/>
    </row>
    <row r="338" spans="1:26" ht="99">
      <c r="A338" s="172" t="s">
        <v>6736</v>
      </c>
      <c r="B338" s="60" t="s">
        <v>6737</v>
      </c>
      <c r="C338" s="60" t="s">
        <v>6738</v>
      </c>
      <c r="D338" s="221" t="s">
        <v>6535</v>
      </c>
      <c r="E338" s="222" t="s">
        <v>6547</v>
      </c>
      <c r="F338" s="60" t="s">
        <v>33</v>
      </c>
      <c r="G338" s="179"/>
      <c r="H338" s="60" t="s">
        <v>6562</v>
      </c>
      <c r="I338" s="60" t="s">
        <v>32</v>
      </c>
      <c r="J338" s="61"/>
      <c r="K338" s="61"/>
      <c r="L338" s="61"/>
      <c r="M338" s="61"/>
      <c r="N338" s="61"/>
      <c r="O338" s="61"/>
      <c r="P338" s="61"/>
      <c r="Q338" s="61"/>
      <c r="R338" s="61"/>
      <c r="S338" s="61"/>
      <c r="T338" s="61"/>
      <c r="U338" s="61"/>
      <c r="V338" s="61"/>
      <c r="W338" s="61"/>
      <c r="X338" s="61"/>
      <c r="Y338" s="61"/>
      <c r="Z338" s="61"/>
    </row>
    <row r="339" spans="1:26" ht="208">
      <c r="A339" s="229" t="s">
        <v>6749</v>
      </c>
      <c r="B339" s="155" t="s">
        <v>6752</v>
      </c>
      <c r="C339" s="155" t="s">
        <v>6755</v>
      </c>
      <c r="D339" s="211" t="s">
        <v>6757</v>
      </c>
      <c r="E339" s="211" t="s">
        <v>815</v>
      </c>
      <c r="F339" s="211" t="s">
        <v>46</v>
      </c>
      <c r="G339" s="213" t="s">
        <v>6758</v>
      </c>
      <c r="H339" s="213" t="s">
        <v>6763</v>
      </c>
      <c r="I339" s="211" t="s">
        <v>63</v>
      </c>
      <c r="J339" s="61"/>
      <c r="K339" s="61"/>
      <c r="L339" s="61"/>
      <c r="M339" s="61"/>
      <c r="N339" s="61"/>
      <c r="O339" s="61"/>
      <c r="P339" s="61"/>
      <c r="Q339" s="61"/>
      <c r="R339" s="61"/>
      <c r="S339" s="61"/>
      <c r="T339" s="61"/>
      <c r="U339" s="61"/>
      <c r="V339" s="61"/>
      <c r="W339" s="61"/>
      <c r="X339" s="61"/>
      <c r="Y339" s="61"/>
      <c r="Z339" s="61"/>
    </row>
    <row r="340" spans="1:26" ht="160">
      <c r="A340" s="229" t="s">
        <v>6779</v>
      </c>
      <c r="B340" s="130" t="s">
        <v>6780</v>
      </c>
      <c r="C340" s="130" t="s">
        <v>6781</v>
      </c>
      <c r="D340" s="211" t="s">
        <v>6757</v>
      </c>
      <c r="E340" s="211" t="s">
        <v>815</v>
      </c>
      <c r="F340" s="211" t="s">
        <v>46</v>
      </c>
      <c r="G340" s="213" t="s">
        <v>6782</v>
      </c>
      <c r="H340" s="213" t="s">
        <v>6763</v>
      </c>
      <c r="I340" s="211" t="s">
        <v>6793</v>
      </c>
      <c r="J340" s="61"/>
      <c r="K340" s="61"/>
      <c r="L340" s="61"/>
      <c r="M340" s="61"/>
      <c r="N340" s="61"/>
      <c r="O340" s="61"/>
      <c r="P340" s="61"/>
      <c r="Q340" s="61"/>
      <c r="R340" s="61"/>
      <c r="S340" s="61"/>
      <c r="T340" s="61"/>
      <c r="U340" s="61"/>
      <c r="V340" s="61"/>
      <c r="W340" s="61"/>
      <c r="X340" s="61"/>
      <c r="Y340" s="61"/>
      <c r="Z340" s="61"/>
    </row>
    <row r="341" spans="1:26" ht="160">
      <c r="A341" s="230" t="s">
        <v>211</v>
      </c>
      <c r="B341" s="130" t="s">
        <v>6799</v>
      </c>
      <c r="C341" s="130" t="s">
        <v>6800</v>
      </c>
      <c r="D341" s="211" t="s">
        <v>6757</v>
      </c>
      <c r="E341" s="211" t="s">
        <v>815</v>
      </c>
      <c r="F341" s="211" t="s">
        <v>46</v>
      </c>
      <c r="G341" s="213" t="s">
        <v>6801</v>
      </c>
      <c r="H341" s="213" t="s">
        <v>6763</v>
      </c>
      <c r="I341" s="211" t="s">
        <v>470</v>
      </c>
      <c r="J341" s="61"/>
      <c r="K341" s="61"/>
      <c r="L341" s="61"/>
      <c r="M341" s="61"/>
      <c r="N341" s="61"/>
      <c r="O341" s="61"/>
      <c r="P341" s="61"/>
      <c r="Q341" s="61"/>
      <c r="R341" s="61"/>
      <c r="S341" s="61"/>
      <c r="T341" s="61"/>
      <c r="U341" s="61"/>
      <c r="V341" s="61"/>
      <c r="W341" s="61"/>
      <c r="X341" s="61"/>
      <c r="Y341" s="61"/>
      <c r="Z341" s="61"/>
    </row>
    <row r="342" spans="1:26" ht="160">
      <c r="A342" s="230" t="s">
        <v>1920</v>
      </c>
      <c r="B342" s="130" t="s">
        <v>6819</v>
      </c>
      <c r="C342" s="130" t="s">
        <v>6820</v>
      </c>
      <c r="D342" s="211" t="s">
        <v>6757</v>
      </c>
      <c r="E342" s="211" t="s">
        <v>815</v>
      </c>
      <c r="F342" s="211" t="s">
        <v>46</v>
      </c>
      <c r="G342" s="213" t="s">
        <v>6823</v>
      </c>
      <c r="H342" s="213" t="s">
        <v>6763</v>
      </c>
      <c r="I342" s="211" t="s">
        <v>63</v>
      </c>
      <c r="J342" s="61"/>
      <c r="K342" s="61"/>
      <c r="L342" s="61"/>
      <c r="M342" s="61"/>
      <c r="N342" s="61"/>
      <c r="O342" s="61"/>
      <c r="P342" s="61"/>
      <c r="Q342" s="61"/>
      <c r="R342" s="61"/>
      <c r="S342" s="61"/>
      <c r="T342" s="61"/>
      <c r="U342" s="61"/>
      <c r="V342" s="61"/>
      <c r="W342" s="61"/>
      <c r="X342" s="61"/>
      <c r="Y342" s="61"/>
      <c r="Z342" s="61"/>
    </row>
    <row r="343" spans="1:26" ht="160">
      <c r="A343" s="230" t="s">
        <v>6833</v>
      </c>
      <c r="B343" s="130" t="s">
        <v>6836</v>
      </c>
      <c r="C343" s="130" t="s">
        <v>6838</v>
      </c>
      <c r="D343" s="211" t="s">
        <v>6757</v>
      </c>
      <c r="E343" s="211" t="s">
        <v>815</v>
      </c>
      <c r="F343" s="211" t="s">
        <v>46</v>
      </c>
      <c r="G343" s="213" t="s">
        <v>6841</v>
      </c>
      <c r="H343" s="213" t="s">
        <v>6763</v>
      </c>
      <c r="I343" s="211" t="s">
        <v>63</v>
      </c>
      <c r="J343" s="61"/>
      <c r="K343" s="61"/>
      <c r="L343" s="61"/>
      <c r="M343" s="61"/>
      <c r="N343" s="61"/>
      <c r="O343" s="61"/>
      <c r="P343" s="61"/>
      <c r="Q343" s="61"/>
      <c r="R343" s="61"/>
      <c r="S343" s="61"/>
      <c r="T343" s="61"/>
      <c r="U343" s="61"/>
      <c r="V343" s="61"/>
      <c r="W343" s="61"/>
      <c r="X343" s="61"/>
      <c r="Y343" s="61"/>
      <c r="Z343" s="61"/>
    </row>
    <row r="344" spans="1:26" ht="196">
      <c r="A344" s="230" t="s">
        <v>6850</v>
      </c>
      <c r="B344" s="130" t="s">
        <v>6851</v>
      </c>
      <c r="C344" s="131" t="s">
        <v>6852</v>
      </c>
      <c r="D344" s="211" t="s">
        <v>6757</v>
      </c>
      <c r="E344" s="211" t="s">
        <v>815</v>
      </c>
      <c r="F344" s="211" t="s">
        <v>46</v>
      </c>
      <c r="G344" s="213" t="s">
        <v>6857</v>
      </c>
      <c r="H344" s="213" t="s">
        <v>6763</v>
      </c>
      <c r="I344" s="211" t="s">
        <v>63</v>
      </c>
      <c r="J344" s="61"/>
      <c r="K344" s="61"/>
      <c r="L344" s="61"/>
      <c r="M344" s="61"/>
      <c r="N344" s="61"/>
      <c r="O344" s="61"/>
      <c r="P344" s="61"/>
      <c r="Q344" s="61"/>
      <c r="R344" s="61"/>
      <c r="S344" s="61"/>
      <c r="T344" s="61"/>
      <c r="U344" s="61"/>
      <c r="V344" s="61"/>
      <c r="W344" s="61"/>
      <c r="X344" s="61"/>
      <c r="Y344" s="61"/>
      <c r="Z344" s="61"/>
    </row>
    <row r="345" spans="1:26" ht="208">
      <c r="A345" s="230" t="s">
        <v>416</v>
      </c>
      <c r="B345" s="130" t="s">
        <v>6881</v>
      </c>
      <c r="C345" s="130" t="s">
        <v>6882</v>
      </c>
      <c r="D345" s="211" t="s">
        <v>6757</v>
      </c>
      <c r="E345" s="211" t="s">
        <v>815</v>
      </c>
      <c r="F345" s="211" t="s">
        <v>46</v>
      </c>
      <c r="G345" s="213" t="s">
        <v>6883</v>
      </c>
      <c r="H345" s="213" t="s">
        <v>6763</v>
      </c>
      <c r="I345" s="211" t="s">
        <v>63</v>
      </c>
      <c r="J345" s="61"/>
      <c r="K345" s="61"/>
      <c r="L345" s="61"/>
      <c r="M345" s="61"/>
      <c r="N345" s="61"/>
      <c r="O345" s="61"/>
      <c r="P345" s="61"/>
      <c r="Q345" s="61"/>
      <c r="R345" s="61"/>
      <c r="S345" s="61"/>
      <c r="T345" s="61"/>
      <c r="U345" s="61"/>
      <c r="V345" s="61"/>
      <c r="W345" s="61"/>
      <c r="X345" s="61"/>
      <c r="Y345" s="61"/>
      <c r="Z345" s="61"/>
    </row>
    <row r="346" spans="1:26" ht="32">
      <c r="A346" s="200" t="s">
        <v>6907</v>
      </c>
      <c r="B346" s="201" t="s">
        <v>6910</v>
      </c>
      <c r="C346" s="201" t="s">
        <v>6913</v>
      </c>
      <c r="D346" s="200" t="s">
        <v>6914</v>
      </c>
      <c r="E346" s="200" t="s">
        <v>6915</v>
      </c>
      <c r="F346" s="200" t="s">
        <v>46</v>
      </c>
      <c r="G346" s="203" t="s">
        <v>6916</v>
      </c>
      <c r="H346" s="200" t="s">
        <v>32</v>
      </c>
      <c r="I346" s="60" t="s">
        <v>32</v>
      </c>
      <c r="J346" s="61"/>
      <c r="K346" s="61"/>
      <c r="L346" s="61"/>
      <c r="M346" s="61"/>
      <c r="N346" s="61"/>
      <c r="O346" s="61"/>
      <c r="P346" s="61"/>
      <c r="Q346" s="61"/>
      <c r="R346" s="61"/>
      <c r="S346" s="61"/>
      <c r="T346" s="61"/>
      <c r="U346" s="61"/>
      <c r="V346" s="61"/>
      <c r="W346" s="61"/>
      <c r="X346" s="61"/>
      <c r="Y346" s="61"/>
      <c r="Z346" s="61"/>
    </row>
    <row r="347" spans="1:26" ht="32">
      <c r="A347" s="200" t="s">
        <v>5768</v>
      </c>
      <c r="B347" s="201" t="s">
        <v>6925</v>
      </c>
      <c r="C347" s="201" t="s">
        <v>6926</v>
      </c>
      <c r="D347" s="200" t="s">
        <v>6914</v>
      </c>
      <c r="E347" s="200" t="s">
        <v>6915</v>
      </c>
      <c r="F347" s="200" t="s">
        <v>46</v>
      </c>
      <c r="G347" s="203" t="s">
        <v>6916</v>
      </c>
      <c r="H347" s="200" t="s">
        <v>32</v>
      </c>
      <c r="I347" s="60" t="s">
        <v>326</v>
      </c>
      <c r="J347" s="61"/>
      <c r="K347" s="61"/>
      <c r="L347" s="61"/>
      <c r="M347" s="61"/>
      <c r="N347" s="61"/>
      <c r="O347" s="61"/>
      <c r="P347" s="61"/>
      <c r="Q347" s="61"/>
      <c r="R347" s="61"/>
      <c r="S347" s="61"/>
      <c r="T347" s="61"/>
      <c r="U347" s="61"/>
      <c r="V347" s="61"/>
      <c r="W347" s="61"/>
      <c r="X347" s="61"/>
      <c r="Y347" s="61"/>
      <c r="Z347" s="61"/>
    </row>
    <row r="348" spans="1:26" ht="84">
      <c r="A348" s="232" t="s">
        <v>6945</v>
      </c>
      <c r="B348" s="72" t="s">
        <v>6948</v>
      </c>
      <c r="C348" s="177" t="s">
        <v>6949</v>
      </c>
      <c r="D348" s="232" t="s">
        <v>6950</v>
      </c>
      <c r="E348" s="177" t="s">
        <v>6952</v>
      </c>
      <c r="F348" s="177" t="s">
        <v>2618</v>
      </c>
      <c r="G348" s="160" t="s">
        <v>6956</v>
      </c>
      <c r="H348" s="160" t="s">
        <v>6961</v>
      </c>
      <c r="I348" s="177" t="s">
        <v>266</v>
      </c>
      <c r="J348" s="61"/>
      <c r="K348" s="61"/>
      <c r="L348" s="61"/>
      <c r="M348" s="61"/>
      <c r="N348" s="61"/>
      <c r="O348" s="61"/>
      <c r="P348" s="61"/>
      <c r="Q348" s="61"/>
      <c r="R348" s="61"/>
      <c r="S348" s="61"/>
      <c r="T348" s="61"/>
      <c r="U348" s="61"/>
      <c r="V348" s="61"/>
      <c r="W348" s="61"/>
      <c r="X348" s="61"/>
      <c r="Y348" s="61"/>
      <c r="Z348" s="61"/>
    </row>
    <row r="349" spans="1:26" ht="56">
      <c r="A349" s="232" t="s">
        <v>6972</v>
      </c>
      <c r="B349" s="72" t="s">
        <v>6974</v>
      </c>
      <c r="C349" s="177" t="s">
        <v>6975</v>
      </c>
      <c r="D349" s="232" t="s">
        <v>6950</v>
      </c>
      <c r="E349" s="177" t="s">
        <v>6952</v>
      </c>
      <c r="F349" s="177" t="s">
        <v>2618</v>
      </c>
      <c r="G349" s="160" t="s">
        <v>6980</v>
      </c>
      <c r="H349" s="160" t="s">
        <v>6961</v>
      </c>
      <c r="I349" s="177" t="s">
        <v>266</v>
      </c>
      <c r="J349" s="61"/>
      <c r="K349" s="61"/>
      <c r="L349" s="61"/>
      <c r="M349" s="61"/>
      <c r="N349" s="61"/>
      <c r="O349" s="61"/>
      <c r="P349" s="61"/>
      <c r="Q349" s="61"/>
      <c r="R349" s="61"/>
      <c r="S349" s="61"/>
      <c r="T349" s="61"/>
      <c r="U349" s="61"/>
      <c r="V349" s="61"/>
      <c r="W349" s="61"/>
      <c r="X349" s="61"/>
      <c r="Y349" s="61"/>
      <c r="Z349" s="61"/>
    </row>
    <row r="350" spans="1:26" ht="293">
      <c r="A350" s="125" t="s">
        <v>1454</v>
      </c>
      <c r="B350" s="115" t="s">
        <v>6990</v>
      </c>
      <c r="C350" s="115" t="s">
        <v>6991</v>
      </c>
      <c r="D350" s="72" t="s">
        <v>6993</v>
      </c>
      <c r="E350" s="72" t="s">
        <v>4573</v>
      </c>
      <c r="F350" s="72" t="s">
        <v>46</v>
      </c>
      <c r="G350" s="112" t="s">
        <v>6995</v>
      </c>
      <c r="H350" s="72" t="s">
        <v>6999</v>
      </c>
      <c r="I350" s="60" t="s">
        <v>32</v>
      </c>
      <c r="J350" s="61"/>
      <c r="K350" s="61"/>
      <c r="L350" s="61"/>
      <c r="M350" s="61"/>
      <c r="N350" s="61"/>
      <c r="O350" s="61"/>
      <c r="P350" s="61"/>
      <c r="Q350" s="61"/>
      <c r="R350" s="61"/>
      <c r="S350" s="61"/>
      <c r="T350" s="61"/>
      <c r="U350" s="61"/>
      <c r="V350" s="61"/>
      <c r="W350" s="61"/>
      <c r="X350" s="61"/>
      <c r="Y350" s="61"/>
      <c r="Z350" s="61"/>
    </row>
    <row r="351" spans="1:26" ht="56">
      <c r="A351" s="35" t="s">
        <v>7002</v>
      </c>
      <c r="B351" s="60" t="s">
        <v>7003</v>
      </c>
      <c r="C351" s="35" t="s">
        <v>7004</v>
      </c>
      <c r="D351" s="35" t="s">
        <v>7005</v>
      </c>
      <c r="E351" s="35" t="s">
        <v>7007</v>
      </c>
      <c r="F351" s="35" t="s">
        <v>7010</v>
      </c>
      <c r="G351" s="38" t="s">
        <v>7013</v>
      </c>
      <c r="H351" s="233" t="s">
        <v>7014</v>
      </c>
      <c r="I351" s="35" t="s">
        <v>357</v>
      </c>
      <c r="J351" s="61"/>
      <c r="K351" s="61"/>
      <c r="L351" s="61"/>
      <c r="M351" s="61"/>
      <c r="N351" s="61"/>
      <c r="O351" s="61"/>
      <c r="P351" s="61"/>
      <c r="Q351" s="61"/>
      <c r="R351" s="61"/>
      <c r="S351" s="61"/>
      <c r="T351" s="61"/>
      <c r="U351" s="61"/>
      <c r="V351" s="61"/>
      <c r="W351" s="61"/>
      <c r="X351" s="61"/>
      <c r="Y351" s="61"/>
      <c r="Z351" s="61"/>
    </row>
    <row r="352" spans="1:26" ht="210">
      <c r="A352" s="234" t="s">
        <v>7025</v>
      </c>
      <c r="B352" s="72" t="s">
        <v>7030</v>
      </c>
      <c r="C352" s="177" t="s">
        <v>7031</v>
      </c>
      <c r="D352" s="234" t="s">
        <v>7032</v>
      </c>
      <c r="E352" s="234" t="s">
        <v>7033</v>
      </c>
      <c r="F352" s="234" t="s">
        <v>46</v>
      </c>
      <c r="G352" s="235" t="s">
        <v>7035</v>
      </c>
      <c r="H352" s="234" t="s">
        <v>7037</v>
      </c>
      <c r="I352" s="61"/>
      <c r="J352" s="61"/>
      <c r="K352" s="61"/>
      <c r="L352" s="61"/>
      <c r="M352" s="61"/>
      <c r="N352" s="61"/>
      <c r="O352" s="61"/>
      <c r="P352" s="61"/>
      <c r="Q352" s="61"/>
      <c r="R352" s="61"/>
      <c r="S352" s="61"/>
      <c r="T352" s="61"/>
      <c r="U352" s="61"/>
      <c r="V352" s="61"/>
      <c r="W352" s="61"/>
      <c r="X352" s="61"/>
      <c r="Y352" s="61"/>
      <c r="Z352" s="61"/>
    </row>
    <row r="353" spans="1:26" ht="210">
      <c r="A353" s="235" t="s">
        <v>798</v>
      </c>
      <c r="B353" s="72" t="s">
        <v>7041</v>
      </c>
      <c r="C353" s="177" t="s">
        <v>7042</v>
      </c>
      <c r="D353" s="235" t="s">
        <v>7032</v>
      </c>
      <c r="E353" s="235" t="s">
        <v>7033</v>
      </c>
      <c r="F353" s="235" t="s">
        <v>46</v>
      </c>
      <c r="G353" s="235" t="s">
        <v>7035</v>
      </c>
      <c r="H353" s="235" t="s">
        <v>7037</v>
      </c>
      <c r="I353" s="61"/>
      <c r="J353" s="61"/>
      <c r="K353" s="61"/>
      <c r="L353" s="61"/>
      <c r="M353" s="61"/>
      <c r="N353" s="61"/>
      <c r="O353" s="61"/>
      <c r="P353" s="61"/>
      <c r="Q353" s="61"/>
      <c r="R353" s="61"/>
      <c r="S353" s="61"/>
      <c r="T353" s="61"/>
      <c r="U353" s="61"/>
      <c r="V353" s="61"/>
      <c r="W353" s="61"/>
      <c r="X353" s="61"/>
      <c r="Y353" s="61"/>
      <c r="Z353" s="61"/>
    </row>
    <row r="354" spans="1:26" ht="238">
      <c r="A354" s="235" t="s">
        <v>7044</v>
      </c>
      <c r="B354" s="72" t="s">
        <v>7046</v>
      </c>
      <c r="C354" s="236" t="s">
        <v>7047</v>
      </c>
      <c r="D354" s="235" t="s">
        <v>7032</v>
      </c>
      <c r="E354" s="235" t="s">
        <v>7033</v>
      </c>
      <c r="F354" s="235" t="s">
        <v>46</v>
      </c>
      <c r="G354" s="235" t="s">
        <v>7035</v>
      </c>
      <c r="H354" s="235" t="s">
        <v>7037</v>
      </c>
      <c r="I354" s="61"/>
      <c r="J354" s="61"/>
      <c r="K354" s="61"/>
      <c r="L354" s="61"/>
      <c r="M354" s="61"/>
      <c r="N354" s="61"/>
      <c r="O354" s="61"/>
      <c r="P354" s="61"/>
      <c r="Q354" s="61"/>
      <c r="R354" s="61"/>
      <c r="S354" s="61"/>
      <c r="T354" s="61"/>
      <c r="U354" s="61"/>
      <c r="V354" s="61"/>
      <c r="W354" s="61"/>
      <c r="X354" s="61"/>
      <c r="Y354" s="61"/>
      <c r="Z354" s="61"/>
    </row>
    <row r="355" spans="1:26" ht="140">
      <c r="A355" s="235" t="s">
        <v>7052</v>
      </c>
      <c r="B355" s="72" t="s">
        <v>7053</v>
      </c>
      <c r="C355" s="236" t="s">
        <v>7054</v>
      </c>
      <c r="D355" s="235" t="s">
        <v>7032</v>
      </c>
      <c r="E355" s="235" t="s">
        <v>7033</v>
      </c>
      <c r="F355" s="235" t="s">
        <v>46</v>
      </c>
      <c r="G355" s="235" t="s">
        <v>7035</v>
      </c>
      <c r="H355" s="235" t="s">
        <v>7037</v>
      </c>
      <c r="I355" s="61"/>
      <c r="J355" s="61"/>
      <c r="K355" s="61"/>
      <c r="L355" s="61"/>
      <c r="M355" s="61"/>
      <c r="N355" s="61"/>
      <c r="O355" s="61"/>
      <c r="P355" s="61"/>
      <c r="Q355" s="61"/>
      <c r="R355" s="61"/>
      <c r="S355" s="61"/>
      <c r="T355" s="61"/>
      <c r="U355" s="61"/>
      <c r="V355" s="61"/>
      <c r="W355" s="61"/>
      <c r="X355" s="61"/>
      <c r="Y355" s="61"/>
      <c r="Z355" s="61"/>
    </row>
    <row r="356" spans="1:26" ht="56">
      <c r="A356" s="235" t="s">
        <v>7056</v>
      </c>
      <c r="B356" s="161" t="s">
        <v>7057</v>
      </c>
      <c r="C356" s="236" t="s">
        <v>7058</v>
      </c>
      <c r="D356" s="235" t="s">
        <v>7032</v>
      </c>
      <c r="E356" s="235" t="s">
        <v>7033</v>
      </c>
      <c r="F356" s="235" t="s">
        <v>46</v>
      </c>
      <c r="G356" s="235" t="s">
        <v>7035</v>
      </c>
      <c r="H356" s="235" t="s">
        <v>7037</v>
      </c>
      <c r="I356" s="61"/>
      <c r="J356" s="61"/>
      <c r="K356" s="61"/>
      <c r="L356" s="61"/>
      <c r="M356" s="61"/>
      <c r="N356" s="61"/>
      <c r="O356" s="61"/>
      <c r="P356" s="61"/>
      <c r="Q356" s="61"/>
      <c r="R356" s="61"/>
      <c r="S356" s="61"/>
      <c r="T356" s="61"/>
      <c r="U356" s="61"/>
      <c r="V356" s="61"/>
      <c r="W356" s="61"/>
      <c r="X356" s="61"/>
      <c r="Y356" s="61"/>
      <c r="Z356" s="61"/>
    </row>
    <row r="357" spans="1:26" ht="15">
      <c r="A357" s="200" t="s">
        <v>7066</v>
      </c>
      <c r="B357" s="202" t="s">
        <v>7067</v>
      </c>
      <c r="C357" s="202" t="s">
        <v>7068</v>
      </c>
      <c r="D357" s="200" t="s">
        <v>7069</v>
      </c>
      <c r="E357" s="200" t="s">
        <v>7070</v>
      </c>
      <c r="F357" s="200" t="s">
        <v>506</v>
      </c>
      <c r="G357" s="203" t="s">
        <v>7071</v>
      </c>
      <c r="H357" s="203" t="s">
        <v>7077</v>
      </c>
      <c r="I357" s="200" t="s">
        <v>134</v>
      </c>
      <c r="J357" s="61"/>
      <c r="K357" s="61"/>
      <c r="L357" s="61"/>
      <c r="M357" s="61"/>
      <c r="N357" s="61"/>
      <c r="O357" s="61"/>
      <c r="P357" s="61"/>
      <c r="Q357" s="61"/>
      <c r="R357" s="61"/>
      <c r="S357" s="61"/>
      <c r="T357" s="61"/>
      <c r="U357" s="61"/>
      <c r="V357" s="61"/>
      <c r="W357" s="61"/>
      <c r="X357" s="61"/>
      <c r="Y357" s="61"/>
      <c r="Z357" s="61"/>
    </row>
    <row r="358" spans="1:26" ht="84">
      <c r="A358" s="60" t="s">
        <v>857</v>
      </c>
      <c r="B358" s="60" t="s">
        <v>7080</v>
      </c>
      <c r="C358" s="217" t="s">
        <v>7081</v>
      </c>
      <c r="D358" s="60" t="s">
        <v>7082</v>
      </c>
      <c r="E358" s="60" t="s">
        <v>7083</v>
      </c>
      <c r="F358" s="60" t="s">
        <v>46</v>
      </c>
      <c r="G358" s="38" t="s">
        <v>7086</v>
      </c>
      <c r="H358" s="60" t="s">
        <v>7092</v>
      </c>
      <c r="I358" s="60" t="s">
        <v>32</v>
      </c>
      <c r="J358" s="61"/>
      <c r="K358" s="61"/>
      <c r="L358" s="61"/>
      <c r="M358" s="61"/>
      <c r="N358" s="61"/>
      <c r="O358" s="61"/>
      <c r="P358" s="61"/>
      <c r="Q358" s="61"/>
      <c r="R358" s="61"/>
      <c r="S358" s="61"/>
      <c r="T358" s="61"/>
      <c r="U358" s="61"/>
      <c r="V358" s="61"/>
      <c r="W358" s="61"/>
      <c r="X358" s="61"/>
      <c r="Y358" s="61"/>
      <c r="Z358" s="61"/>
    </row>
    <row r="359" spans="1:26" ht="70">
      <c r="A359" s="60" t="s">
        <v>7094</v>
      </c>
      <c r="B359" s="60" t="s">
        <v>7095</v>
      </c>
      <c r="C359" s="60" t="s">
        <v>7096</v>
      </c>
      <c r="D359" s="60" t="s">
        <v>7097</v>
      </c>
      <c r="E359" s="60" t="s">
        <v>7098</v>
      </c>
      <c r="F359" s="60" t="s">
        <v>46</v>
      </c>
      <c r="G359" s="38" t="s">
        <v>7099</v>
      </c>
      <c r="H359" s="60" t="s">
        <v>7092</v>
      </c>
      <c r="I359" s="60" t="s">
        <v>296</v>
      </c>
      <c r="J359" s="61"/>
      <c r="K359" s="61"/>
      <c r="L359" s="61"/>
      <c r="M359" s="61"/>
      <c r="N359" s="61"/>
      <c r="O359" s="61"/>
      <c r="P359" s="61"/>
      <c r="Q359" s="61"/>
      <c r="R359" s="61"/>
      <c r="S359" s="61"/>
      <c r="T359" s="61"/>
      <c r="U359" s="61"/>
      <c r="V359" s="61"/>
      <c r="W359" s="61"/>
      <c r="X359" s="61"/>
      <c r="Y359" s="61"/>
      <c r="Z359" s="61"/>
    </row>
    <row r="360" spans="1:26" ht="70">
      <c r="A360" s="60" t="s">
        <v>7106</v>
      </c>
      <c r="B360" s="60" t="s">
        <v>7107</v>
      </c>
      <c r="C360" s="60" t="s">
        <v>7108</v>
      </c>
      <c r="D360" s="60" t="s">
        <v>7109</v>
      </c>
      <c r="E360" s="60" t="s">
        <v>7110</v>
      </c>
      <c r="F360" s="60" t="s">
        <v>46</v>
      </c>
      <c r="G360" s="38" t="s">
        <v>7113</v>
      </c>
      <c r="H360" s="60" t="s">
        <v>7092</v>
      </c>
      <c r="I360" s="60" t="s">
        <v>63</v>
      </c>
      <c r="J360" s="61"/>
      <c r="K360" s="61"/>
      <c r="L360" s="61"/>
      <c r="M360" s="61"/>
      <c r="N360" s="61"/>
      <c r="O360" s="61"/>
      <c r="P360" s="61"/>
      <c r="Q360" s="61"/>
      <c r="R360" s="61"/>
      <c r="S360" s="61"/>
      <c r="T360" s="61"/>
      <c r="U360" s="61"/>
      <c r="V360" s="61"/>
      <c r="W360" s="61"/>
      <c r="X360" s="61"/>
      <c r="Y360" s="61"/>
      <c r="Z360" s="61"/>
    </row>
    <row r="361" spans="1:26" ht="126">
      <c r="A361" s="60" t="s">
        <v>6660</v>
      </c>
      <c r="B361" s="60" t="s">
        <v>7122</v>
      </c>
      <c r="C361" s="60" t="s">
        <v>7123</v>
      </c>
      <c r="D361" s="60" t="s">
        <v>7124</v>
      </c>
      <c r="E361" s="60" t="s">
        <v>266</v>
      </c>
      <c r="F361" s="60" t="s">
        <v>46</v>
      </c>
      <c r="G361" s="38" t="s">
        <v>7126</v>
      </c>
      <c r="H361" s="60" t="s">
        <v>7092</v>
      </c>
      <c r="I361" s="60" t="s">
        <v>134</v>
      </c>
      <c r="J361" s="61"/>
      <c r="K361" s="61"/>
      <c r="L361" s="61"/>
      <c r="M361" s="61"/>
      <c r="N361" s="61"/>
      <c r="O361" s="61"/>
      <c r="P361" s="61"/>
      <c r="Q361" s="61"/>
      <c r="R361" s="61"/>
      <c r="S361" s="61"/>
      <c r="T361" s="61"/>
      <c r="U361" s="61"/>
      <c r="V361" s="61"/>
      <c r="W361" s="61"/>
      <c r="X361" s="61"/>
      <c r="Y361" s="61"/>
      <c r="Z361" s="61"/>
    </row>
    <row r="362" spans="1:26" ht="182">
      <c r="A362" s="60" t="s">
        <v>7145</v>
      </c>
      <c r="B362" s="60" t="s">
        <v>7146</v>
      </c>
      <c r="C362" s="60" t="s">
        <v>7148</v>
      </c>
      <c r="D362" s="60" t="s">
        <v>7149</v>
      </c>
      <c r="E362" s="60" t="s">
        <v>274</v>
      </c>
      <c r="F362" s="60" t="s">
        <v>46</v>
      </c>
      <c r="G362" s="38" t="s">
        <v>7152</v>
      </c>
      <c r="H362" s="60" t="s">
        <v>7092</v>
      </c>
      <c r="I362" s="60" t="s">
        <v>32</v>
      </c>
      <c r="J362" s="61"/>
      <c r="K362" s="61"/>
      <c r="L362" s="61"/>
      <c r="M362" s="61"/>
      <c r="N362" s="61"/>
      <c r="O362" s="61"/>
      <c r="P362" s="61"/>
      <c r="Q362" s="61"/>
      <c r="R362" s="61"/>
      <c r="S362" s="61"/>
      <c r="T362" s="61"/>
      <c r="U362" s="61"/>
      <c r="V362" s="61"/>
      <c r="W362" s="61"/>
      <c r="X362" s="61"/>
      <c r="Y362" s="61"/>
      <c r="Z362" s="61"/>
    </row>
    <row r="363" spans="1:26" ht="84">
      <c r="A363" s="60" t="s">
        <v>4123</v>
      </c>
      <c r="B363" s="60" t="s">
        <v>7165</v>
      </c>
      <c r="C363" s="60" t="s">
        <v>7166</v>
      </c>
      <c r="D363" s="60" t="s">
        <v>7167</v>
      </c>
      <c r="E363" s="60" t="s">
        <v>266</v>
      </c>
      <c r="F363" s="60" t="s">
        <v>46</v>
      </c>
      <c r="G363" s="38" t="s">
        <v>7168</v>
      </c>
      <c r="H363" s="60" t="s">
        <v>7092</v>
      </c>
      <c r="I363" s="60" t="s">
        <v>266</v>
      </c>
      <c r="J363" s="61"/>
      <c r="K363" s="61"/>
      <c r="L363" s="61"/>
      <c r="M363" s="61"/>
      <c r="N363" s="61"/>
      <c r="O363" s="61"/>
      <c r="P363" s="61"/>
      <c r="Q363" s="61"/>
      <c r="R363" s="61"/>
      <c r="S363" s="61"/>
      <c r="T363" s="61"/>
      <c r="U363" s="61"/>
      <c r="V363" s="61"/>
      <c r="W363" s="61"/>
      <c r="X363" s="61"/>
      <c r="Y363" s="61"/>
      <c r="Z363" s="61"/>
    </row>
    <row r="364" spans="1:26" ht="154">
      <c r="A364" s="60" t="s">
        <v>4533</v>
      </c>
      <c r="B364" s="60" t="s">
        <v>7179</v>
      </c>
      <c r="C364" s="60" t="s">
        <v>7180</v>
      </c>
      <c r="D364" s="60" t="s">
        <v>7181</v>
      </c>
      <c r="E364" s="60" t="s">
        <v>7182</v>
      </c>
      <c r="F364" s="60" t="s">
        <v>46</v>
      </c>
      <c r="G364" s="38" t="s">
        <v>7184</v>
      </c>
      <c r="H364" s="60" t="s">
        <v>7092</v>
      </c>
      <c r="I364" s="60" t="s">
        <v>32</v>
      </c>
      <c r="J364" s="61"/>
      <c r="K364" s="61"/>
      <c r="L364" s="61"/>
      <c r="M364" s="61"/>
      <c r="N364" s="61"/>
      <c r="O364" s="61"/>
      <c r="P364" s="61"/>
      <c r="Q364" s="61"/>
      <c r="R364" s="61"/>
      <c r="S364" s="61"/>
      <c r="T364" s="61"/>
      <c r="U364" s="61"/>
      <c r="V364" s="61"/>
      <c r="W364" s="61"/>
      <c r="X364" s="61"/>
      <c r="Y364" s="61"/>
      <c r="Z364" s="61"/>
    </row>
    <row r="365" spans="1:26" ht="112">
      <c r="A365" s="60" t="s">
        <v>7198</v>
      </c>
      <c r="B365" s="60" t="s">
        <v>7199</v>
      </c>
      <c r="C365" s="60" t="s">
        <v>7200</v>
      </c>
      <c r="D365" s="60" t="s">
        <v>7181</v>
      </c>
      <c r="E365" s="60" t="s">
        <v>7182</v>
      </c>
      <c r="F365" s="60" t="s">
        <v>46</v>
      </c>
      <c r="G365" s="38" t="s">
        <v>7201</v>
      </c>
      <c r="H365" s="60" t="s">
        <v>7092</v>
      </c>
      <c r="I365" s="61"/>
      <c r="J365" s="61"/>
      <c r="K365" s="61"/>
      <c r="L365" s="61"/>
      <c r="M365" s="61"/>
      <c r="N365" s="61"/>
      <c r="O365" s="61"/>
      <c r="P365" s="61"/>
      <c r="Q365" s="61"/>
      <c r="R365" s="61"/>
      <c r="S365" s="61"/>
      <c r="T365" s="61"/>
      <c r="U365" s="61"/>
      <c r="V365" s="61"/>
      <c r="W365" s="61"/>
      <c r="X365" s="61"/>
      <c r="Y365" s="61"/>
      <c r="Z365" s="61"/>
    </row>
    <row r="366" spans="1:26" ht="168">
      <c r="A366" s="60" t="s">
        <v>2777</v>
      </c>
      <c r="B366" s="60" t="s">
        <v>7213</v>
      </c>
      <c r="C366" s="60" t="s">
        <v>7214</v>
      </c>
      <c r="D366" s="60" t="s">
        <v>7181</v>
      </c>
      <c r="E366" s="60" t="s">
        <v>7182</v>
      </c>
      <c r="F366" s="60" t="s">
        <v>46</v>
      </c>
      <c r="G366" s="219" t="s">
        <v>7215</v>
      </c>
      <c r="H366" s="60" t="s">
        <v>7092</v>
      </c>
      <c r="I366" s="60" t="s">
        <v>32</v>
      </c>
      <c r="J366" s="61"/>
      <c r="K366" s="61"/>
      <c r="L366" s="61"/>
      <c r="M366" s="61"/>
      <c r="N366" s="61"/>
      <c r="O366" s="61"/>
      <c r="P366" s="61"/>
      <c r="Q366" s="61"/>
      <c r="R366" s="61"/>
      <c r="S366" s="61"/>
      <c r="T366" s="61"/>
      <c r="U366" s="61"/>
      <c r="V366" s="61"/>
      <c r="W366" s="61"/>
      <c r="X366" s="61"/>
      <c r="Y366" s="61"/>
      <c r="Z366" s="61"/>
    </row>
    <row r="367" spans="1:26" ht="345">
      <c r="A367" s="60" t="s">
        <v>7226</v>
      </c>
      <c r="B367" s="60" t="s">
        <v>7227</v>
      </c>
      <c r="C367" s="60" t="s">
        <v>7228</v>
      </c>
      <c r="D367" s="60" t="s">
        <v>7181</v>
      </c>
      <c r="E367" s="60" t="s">
        <v>7182</v>
      </c>
      <c r="F367" s="60" t="s">
        <v>46</v>
      </c>
      <c r="G367" s="38" t="s">
        <v>7229</v>
      </c>
      <c r="H367" s="60" t="s">
        <v>7092</v>
      </c>
      <c r="I367" s="60" t="s">
        <v>32</v>
      </c>
      <c r="J367" s="61"/>
      <c r="K367" s="61"/>
      <c r="L367" s="61"/>
      <c r="M367" s="61"/>
      <c r="N367" s="61"/>
      <c r="O367" s="61"/>
      <c r="P367" s="61"/>
      <c r="Q367" s="61"/>
      <c r="R367" s="61"/>
      <c r="S367" s="61"/>
      <c r="T367" s="61"/>
      <c r="U367" s="61"/>
      <c r="V367" s="61"/>
      <c r="W367" s="61"/>
      <c r="X367" s="61"/>
      <c r="Y367" s="61"/>
      <c r="Z367" s="61"/>
    </row>
    <row r="368" spans="1:26" ht="14">
      <c r="A368" s="60" t="s">
        <v>7245</v>
      </c>
      <c r="B368" s="60" t="s">
        <v>7246</v>
      </c>
      <c r="C368" s="60" t="s">
        <v>7247</v>
      </c>
      <c r="D368" s="60" t="s">
        <v>7248</v>
      </c>
      <c r="E368" s="60" t="s">
        <v>5840</v>
      </c>
      <c r="F368" s="60" t="s">
        <v>46</v>
      </c>
      <c r="G368" s="219" t="s">
        <v>7249</v>
      </c>
      <c r="H368" s="237" t="str">
        <f t="shared" ref="H368:H370" si="2">HYPERLINK("mailto:careers@protocol.com.sg","careers@protocol.com.sg")</f>
        <v>careers@protocol.com.sg</v>
      </c>
      <c r="I368" s="60" t="s">
        <v>63</v>
      </c>
      <c r="J368" s="61"/>
      <c r="K368" s="61"/>
      <c r="L368" s="61"/>
      <c r="M368" s="61"/>
      <c r="N368" s="61"/>
      <c r="O368" s="61"/>
      <c r="P368" s="61"/>
      <c r="Q368" s="61"/>
      <c r="R368" s="61"/>
      <c r="S368" s="61"/>
      <c r="T368" s="61"/>
      <c r="U368" s="61"/>
      <c r="V368" s="61"/>
      <c r="W368" s="61"/>
      <c r="X368" s="61"/>
      <c r="Y368" s="61"/>
      <c r="Z368" s="61"/>
    </row>
    <row r="369" spans="1:26" ht="14">
      <c r="A369" s="60" t="s">
        <v>7267</v>
      </c>
      <c r="B369" s="60" t="s">
        <v>7268</v>
      </c>
      <c r="C369" s="60" t="s">
        <v>7269</v>
      </c>
      <c r="D369" s="60" t="s">
        <v>7248</v>
      </c>
      <c r="E369" s="60" t="s">
        <v>5840</v>
      </c>
      <c r="F369" s="60" t="s">
        <v>46</v>
      </c>
      <c r="G369" s="219" t="s">
        <v>7249</v>
      </c>
      <c r="H369" s="237" t="str">
        <f t="shared" si="2"/>
        <v>careers@protocol.com.sg</v>
      </c>
      <c r="I369" s="60" t="s">
        <v>63</v>
      </c>
      <c r="J369" s="61"/>
      <c r="K369" s="61"/>
      <c r="L369" s="61"/>
      <c r="M369" s="61"/>
      <c r="N369" s="61"/>
      <c r="O369" s="61"/>
      <c r="P369" s="61"/>
      <c r="Q369" s="61"/>
      <c r="R369" s="61"/>
      <c r="S369" s="61"/>
      <c r="T369" s="61"/>
      <c r="U369" s="61"/>
      <c r="V369" s="61"/>
      <c r="W369" s="61"/>
      <c r="X369" s="61"/>
      <c r="Y369" s="61"/>
      <c r="Z369" s="61"/>
    </row>
    <row r="370" spans="1:26" ht="14">
      <c r="A370" s="60" t="s">
        <v>7284</v>
      </c>
      <c r="B370" s="60" t="s">
        <v>7285</v>
      </c>
      <c r="C370" s="60" t="s">
        <v>7286</v>
      </c>
      <c r="D370" s="60" t="s">
        <v>7248</v>
      </c>
      <c r="E370" s="60" t="s">
        <v>5840</v>
      </c>
      <c r="F370" s="60" t="s">
        <v>46</v>
      </c>
      <c r="G370" s="219" t="s">
        <v>7249</v>
      </c>
      <c r="H370" s="237" t="str">
        <f t="shared" si="2"/>
        <v>careers@protocol.com.sg</v>
      </c>
      <c r="I370" s="60" t="s">
        <v>63</v>
      </c>
      <c r="J370" s="61"/>
      <c r="K370" s="61"/>
      <c r="L370" s="61"/>
      <c r="M370" s="61"/>
      <c r="N370" s="61"/>
      <c r="O370" s="61"/>
      <c r="P370" s="61"/>
      <c r="Q370" s="61"/>
      <c r="R370" s="61"/>
      <c r="S370" s="61"/>
      <c r="T370" s="61"/>
      <c r="U370" s="61"/>
      <c r="V370" s="61"/>
      <c r="W370" s="61"/>
      <c r="X370" s="61"/>
      <c r="Y370" s="61"/>
      <c r="Z370" s="61"/>
    </row>
    <row r="371" spans="1:26" ht="15">
      <c r="A371" s="165" t="s">
        <v>7292</v>
      </c>
      <c r="B371" s="166" t="s">
        <v>7294</v>
      </c>
      <c r="C371" s="166" t="s">
        <v>7295</v>
      </c>
      <c r="D371" s="165" t="s">
        <v>7296</v>
      </c>
      <c r="E371" s="165" t="s">
        <v>5585</v>
      </c>
      <c r="F371" s="165" t="s">
        <v>46</v>
      </c>
      <c r="G371" s="238" t="s">
        <v>7300</v>
      </c>
      <c r="H371" s="206" t="s">
        <v>7309</v>
      </c>
      <c r="I371" s="60" t="s">
        <v>161</v>
      </c>
      <c r="J371" s="61"/>
      <c r="K371" s="61"/>
      <c r="L371" s="61"/>
      <c r="M371" s="61"/>
      <c r="N371" s="61"/>
      <c r="O371" s="61"/>
      <c r="P371" s="61"/>
      <c r="Q371" s="61"/>
      <c r="R371" s="61"/>
      <c r="S371" s="61"/>
      <c r="T371" s="61"/>
      <c r="U371" s="61"/>
      <c r="V371" s="61"/>
      <c r="W371" s="61"/>
      <c r="X371" s="61"/>
      <c r="Y371" s="61"/>
      <c r="Z371" s="61"/>
    </row>
    <row r="372" spans="1:26" ht="15">
      <c r="A372" s="165" t="s">
        <v>7319</v>
      </c>
      <c r="B372" s="166" t="s">
        <v>7320</v>
      </c>
      <c r="C372" s="166" t="s">
        <v>7321</v>
      </c>
      <c r="D372" s="165" t="s">
        <v>7296</v>
      </c>
      <c r="E372" s="165" t="s">
        <v>5585</v>
      </c>
      <c r="F372" s="165" t="s">
        <v>46</v>
      </c>
      <c r="G372" s="238" t="s">
        <v>7300</v>
      </c>
      <c r="H372" s="206" t="s">
        <v>7309</v>
      </c>
      <c r="I372" s="60" t="s">
        <v>296</v>
      </c>
      <c r="J372" s="61"/>
      <c r="K372" s="61"/>
      <c r="L372" s="61"/>
      <c r="M372" s="61"/>
      <c r="N372" s="61"/>
      <c r="O372" s="61"/>
      <c r="P372" s="61"/>
      <c r="Q372" s="61"/>
      <c r="R372" s="61"/>
      <c r="S372" s="61"/>
      <c r="T372" s="61"/>
      <c r="U372" s="61"/>
      <c r="V372" s="61"/>
      <c r="W372" s="61"/>
      <c r="X372" s="61"/>
      <c r="Y372" s="61"/>
      <c r="Z372" s="61"/>
    </row>
    <row r="373" spans="1:26" ht="15">
      <c r="A373" s="165" t="s">
        <v>798</v>
      </c>
      <c r="B373" s="166" t="s">
        <v>7336</v>
      </c>
      <c r="C373" s="166" t="s">
        <v>7337</v>
      </c>
      <c r="D373" s="165" t="s">
        <v>7296</v>
      </c>
      <c r="E373" s="165" t="s">
        <v>5585</v>
      </c>
      <c r="F373" s="165" t="s">
        <v>46</v>
      </c>
      <c r="G373" s="238" t="s">
        <v>7300</v>
      </c>
      <c r="H373" s="206" t="s">
        <v>7309</v>
      </c>
      <c r="I373" s="60" t="s">
        <v>32</v>
      </c>
      <c r="J373" s="61"/>
      <c r="K373" s="61"/>
      <c r="L373" s="61"/>
      <c r="M373" s="61"/>
      <c r="N373" s="61"/>
      <c r="O373" s="61"/>
      <c r="P373" s="61"/>
      <c r="Q373" s="61"/>
      <c r="R373" s="61"/>
      <c r="S373" s="61"/>
      <c r="T373" s="61"/>
      <c r="U373" s="61"/>
      <c r="V373" s="61"/>
      <c r="W373" s="61"/>
      <c r="X373" s="61"/>
      <c r="Y373" s="61"/>
      <c r="Z373" s="61"/>
    </row>
    <row r="374" spans="1:26" ht="15">
      <c r="A374" s="165" t="s">
        <v>1267</v>
      </c>
      <c r="B374" s="166" t="s">
        <v>7349</v>
      </c>
      <c r="C374" s="166" t="s">
        <v>7350</v>
      </c>
      <c r="D374" s="165" t="s">
        <v>7296</v>
      </c>
      <c r="E374" s="165" t="s">
        <v>5585</v>
      </c>
      <c r="F374" s="165" t="s">
        <v>46</v>
      </c>
      <c r="G374" s="238" t="s">
        <v>7300</v>
      </c>
      <c r="H374" s="206" t="s">
        <v>7309</v>
      </c>
      <c r="I374" s="60" t="s">
        <v>214</v>
      </c>
      <c r="J374" s="61"/>
      <c r="K374" s="61"/>
      <c r="L374" s="61"/>
      <c r="M374" s="61"/>
      <c r="N374" s="61"/>
      <c r="O374" s="61"/>
      <c r="P374" s="61"/>
      <c r="Q374" s="61"/>
      <c r="R374" s="61"/>
      <c r="S374" s="61"/>
      <c r="T374" s="61"/>
      <c r="U374" s="61"/>
      <c r="V374" s="61"/>
      <c r="W374" s="61"/>
      <c r="X374" s="61"/>
      <c r="Y374" s="61"/>
      <c r="Z374" s="61"/>
    </row>
    <row r="375" spans="1:26" ht="32">
      <c r="A375" s="200" t="s">
        <v>7357</v>
      </c>
      <c r="B375" s="201" t="s">
        <v>7360</v>
      </c>
      <c r="C375" s="202" t="s">
        <v>7362</v>
      </c>
      <c r="D375" s="200" t="s">
        <v>7364</v>
      </c>
      <c r="E375" s="200" t="s">
        <v>7365</v>
      </c>
      <c r="F375" s="200" t="s">
        <v>46</v>
      </c>
      <c r="G375" s="203" t="s">
        <v>7366</v>
      </c>
      <c r="H375" s="239" t="s">
        <v>7369</v>
      </c>
      <c r="I375" s="202" t="s">
        <v>161</v>
      </c>
      <c r="J375" s="61"/>
      <c r="K375" s="61"/>
      <c r="L375" s="61"/>
      <c r="M375" s="61"/>
      <c r="N375" s="61"/>
      <c r="O375" s="61"/>
      <c r="P375" s="61"/>
      <c r="Q375" s="61"/>
      <c r="R375" s="61"/>
      <c r="S375" s="61"/>
      <c r="T375" s="61"/>
      <c r="U375" s="61"/>
      <c r="V375" s="61"/>
      <c r="W375" s="61"/>
      <c r="X375" s="61"/>
      <c r="Y375" s="61"/>
      <c r="Z375" s="61"/>
    </row>
    <row r="376" spans="1:26" ht="32">
      <c r="A376" s="200" t="s">
        <v>7376</v>
      </c>
      <c r="B376" s="201" t="s">
        <v>7378</v>
      </c>
      <c r="C376" s="202" t="s">
        <v>7380</v>
      </c>
      <c r="D376" s="200" t="s">
        <v>7364</v>
      </c>
      <c r="E376" s="200" t="s">
        <v>7365</v>
      </c>
      <c r="F376" s="200" t="s">
        <v>46</v>
      </c>
      <c r="G376" s="203" t="s">
        <v>7366</v>
      </c>
      <c r="H376" s="239" t="s">
        <v>7369</v>
      </c>
      <c r="I376" s="202" t="s">
        <v>394</v>
      </c>
      <c r="J376" s="61"/>
      <c r="K376" s="61"/>
      <c r="L376" s="61"/>
      <c r="M376" s="61"/>
      <c r="N376" s="61"/>
      <c r="O376" s="61"/>
      <c r="P376" s="61"/>
      <c r="Q376" s="61"/>
      <c r="R376" s="61"/>
      <c r="S376" s="61"/>
      <c r="T376" s="61"/>
      <c r="U376" s="61"/>
      <c r="V376" s="61"/>
      <c r="W376" s="61"/>
      <c r="X376" s="61"/>
      <c r="Y376" s="61"/>
      <c r="Z376" s="61"/>
    </row>
    <row r="377" spans="1:26" ht="32">
      <c r="A377" s="200" t="s">
        <v>7395</v>
      </c>
      <c r="B377" s="201" t="s">
        <v>7396</v>
      </c>
      <c r="C377" s="202" t="s">
        <v>7397</v>
      </c>
      <c r="D377" s="200" t="s">
        <v>7364</v>
      </c>
      <c r="E377" s="200" t="s">
        <v>7365</v>
      </c>
      <c r="F377" s="200" t="s">
        <v>46</v>
      </c>
      <c r="G377" s="203" t="s">
        <v>7366</v>
      </c>
      <c r="H377" s="203" t="s">
        <v>7369</v>
      </c>
      <c r="I377" s="200" t="s">
        <v>266</v>
      </c>
      <c r="J377" s="61"/>
      <c r="K377" s="61"/>
      <c r="L377" s="61"/>
      <c r="M377" s="61"/>
      <c r="N377" s="61"/>
      <c r="O377" s="61"/>
      <c r="P377" s="61"/>
      <c r="Q377" s="61"/>
      <c r="R377" s="61"/>
      <c r="S377" s="61"/>
      <c r="T377" s="61"/>
      <c r="U377" s="61"/>
      <c r="V377" s="61"/>
      <c r="W377" s="61"/>
      <c r="X377" s="61"/>
      <c r="Y377" s="61"/>
      <c r="Z377" s="61"/>
    </row>
    <row r="378" spans="1:26" ht="14">
      <c r="A378" s="240" t="s">
        <v>7195</v>
      </c>
      <c r="B378" s="236" t="s">
        <v>7422</v>
      </c>
      <c r="C378" s="236" t="s">
        <v>7423</v>
      </c>
      <c r="D378" s="241" t="s">
        <v>7424</v>
      </c>
      <c r="E378" s="61"/>
      <c r="F378" s="60" t="s">
        <v>506</v>
      </c>
      <c r="G378" s="179"/>
      <c r="H378" s="61"/>
      <c r="I378" s="60" t="s">
        <v>63</v>
      </c>
      <c r="J378" s="61"/>
      <c r="K378" s="61"/>
      <c r="L378" s="61"/>
      <c r="M378" s="61"/>
      <c r="N378" s="61"/>
      <c r="O378" s="61"/>
      <c r="P378" s="61"/>
      <c r="Q378" s="61"/>
      <c r="R378" s="61"/>
      <c r="S378" s="61"/>
      <c r="T378" s="61"/>
      <c r="U378" s="61"/>
      <c r="V378" s="61"/>
      <c r="W378" s="61"/>
      <c r="X378" s="61"/>
      <c r="Y378" s="61"/>
      <c r="Z378" s="61"/>
    </row>
    <row r="379" spans="1:26" ht="14">
      <c r="A379" s="240" t="s">
        <v>7429</v>
      </c>
      <c r="B379" s="236" t="s">
        <v>7430</v>
      </c>
      <c r="C379" s="236" t="s">
        <v>7431</v>
      </c>
      <c r="D379" s="241" t="s">
        <v>7424</v>
      </c>
      <c r="E379" s="61"/>
      <c r="F379" s="60" t="s">
        <v>506</v>
      </c>
      <c r="G379" s="179"/>
      <c r="H379" s="61"/>
      <c r="I379" s="60" t="s">
        <v>63</v>
      </c>
      <c r="J379" s="61"/>
      <c r="K379" s="61"/>
      <c r="L379" s="61"/>
      <c r="M379" s="61"/>
      <c r="N379" s="61"/>
      <c r="O379" s="61"/>
      <c r="P379" s="61"/>
      <c r="Q379" s="61"/>
      <c r="R379" s="61"/>
      <c r="S379" s="61"/>
      <c r="T379" s="61"/>
      <c r="U379" s="61"/>
      <c r="V379" s="61"/>
      <c r="W379" s="61"/>
      <c r="X379" s="61"/>
      <c r="Y379" s="61"/>
      <c r="Z379" s="61"/>
    </row>
    <row r="380" spans="1:26" ht="14">
      <c r="A380" s="240" t="s">
        <v>7436</v>
      </c>
      <c r="B380" s="236" t="s">
        <v>7438</v>
      </c>
      <c r="C380" s="236" t="s">
        <v>7440</v>
      </c>
      <c r="D380" s="241" t="s">
        <v>7424</v>
      </c>
      <c r="E380" s="61"/>
      <c r="F380" s="60" t="s">
        <v>506</v>
      </c>
      <c r="G380" s="179"/>
      <c r="H380" s="61"/>
      <c r="I380" s="60" t="s">
        <v>470</v>
      </c>
      <c r="J380" s="61"/>
      <c r="K380" s="61"/>
      <c r="L380" s="61"/>
      <c r="M380" s="61"/>
      <c r="N380" s="61"/>
      <c r="O380" s="61"/>
      <c r="P380" s="61"/>
      <c r="Q380" s="61"/>
      <c r="R380" s="61"/>
      <c r="S380" s="61"/>
      <c r="T380" s="61"/>
      <c r="U380" s="61"/>
      <c r="V380" s="61"/>
      <c r="W380" s="61"/>
      <c r="X380" s="61"/>
      <c r="Y380" s="61"/>
      <c r="Z380" s="61"/>
    </row>
    <row r="381" spans="1:26" ht="224">
      <c r="A381" s="172" t="s">
        <v>7441</v>
      </c>
      <c r="B381" s="242" t="s">
        <v>7442</v>
      </c>
      <c r="C381" s="242" t="s">
        <v>7449</v>
      </c>
      <c r="D381" s="60" t="s">
        <v>7450</v>
      </c>
      <c r="E381" s="60" t="s">
        <v>7452</v>
      </c>
      <c r="F381" s="60" t="s">
        <v>46</v>
      </c>
      <c r="G381" s="219" t="s">
        <v>7453</v>
      </c>
      <c r="H381" s="60" t="s">
        <v>7459</v>
      </c>
      <c r="I381" s="60" t="s">
        <v>409</v>
      </c>
      <c r="J381" s="61"/>
      <c r="K381" s="61"/>
      <c r="L381" s="61"/>
      <c r="M381" s="61"/>
      <c r="N381" s="61"/>
      <c r="O381" s="61"/>
      <c r="P381" s="61"/>
      <c r="Q381" s="61"/>
      <c r="R381" s="61"/>
      <c r="S381" s="61"/>
      <c r="T381" s="61"/>
      <c r="U381" s="61"/>
      <c r="V381" s="61"/>
      <c r="W381" s="61"/>
      <c r="X381" s="61"/>
      <c r="Y381" s="61"/>
      <c r="Z381" s="61"/>
    </row>
    <row r="382" spans="1:26" ht="28">
      <c r="A382" s="15" t="s">
        <v>7463</v>
      </c>
      <c r="B382" s="60" t="s">
        <v>7464</v>
      </c>
      <c r="C382" s="35" t="s">
        <v>7463</v>
      </c>
      <c r="D382" s="183" t="s">
        <v>7465</v>
      </c>
      <c r="E382" s="35" t="s">
        <v>7466</v>
      </c>
      <c r="F382" s="35" t="s">
        <v>46</v>
      </c>
      <c r="G382" s="182" t="s">
        <v>7467</v>
      </c>
      <c r="H382" s="35" t="s">
        <v>98</v>
      </c>
      <c r="I382" s="35" t="s">
        <v>32</v>
      </c>
      <c r="J382" s="61"/>
      <c r="K382" s="61"/>
      <c r="L382" s="61"/>
      <c r="M382" s="61"/>
      <c r="N382" s="61"/>
      <c r="O382" s="61"/>
      <c r="P382" s="61"/>
      <c r="Q382" s="61"/>
      <c r="R382" s="61"/>
      <c r="S382" s="61"/>
      <c r="T382" s="61"/>
      <c r="U382" s="61"/>
      <c r="V382" s="61"/>
      <c r="W382" s="61"/>
      <c r="X382" s="61"/>
      <c r="Y382" s="61"/>
      <c r="Z382" s="61"/>
    </row>
    <row r="383" spans="1:26" ht="61">
      <c r="A383" s="243" t="s">
        <v>7478</v>
      </c>
      <c r="B383" s="244" t="s">
        <v>7484</v>
      </c>
      <c r="C383" s="244" t="s">
        <v>7487</v>
      </c>
      <c r="D383" s="245" t="s">
        <v>7489</v>
      </c>
      <c r="E383" s="245" t="s">
        <v>7496</v>
      </c>
      <c r="F383" s="245" t="s">
        <v>46</v>
      </c>
      <c r="G383" s="227" t="s">
        <v>7497</v>
      </c>
      <c r="H383" s="246" t="s">
        <v>7504</v>
      </c>
      <c r="I383" s="245" t="s">
        <v>32</v>
      </c>
      <c r="J383" s="61"/>
      <c r="K383" s="61"/>
      <c r="L383" s="61"/>
      <c r="M383" s="61"/>
      <c r="N383" s="61"/>
      <c r="O383" s="61"/>
      <c r="P383" s="61"/>
      <c r="Q383" s="61"/>
      <c r="R383" s="61"/>
      <c r="S383" s="61"/>
      <c r="T383" s="61"/>
      <c r="U383" s="61"/>
      <c r="V383" s="61"/>
      <c r="W383" s="61"/>
      <c r="X383" s="61"/>
      <c r="Y383" s="61"/>
      <c r="Z383" s="61"/>
    </row>
    <row r="384" spans="1:26" ht="99">
      <c r="A384" s="243" t="s">
        <v>7516</v>
      </c>
      <c r="B384" s="246" t="s">
        <v>7517</v>
      </c>
      <c r="C384" s="246" t="s">
        <v>7518</v>
      </c>
      <c r="D384" s="245" t="s">
        <v>7489</v>
      </c>
      <c r="E384" s="245" t="s">
        <v>7496</v>
      </c>
      <c r="F384" s="245" t="s">
        <v>46</v>
      </c>
      <c r="G384" s="227" t="s">
        <v>7525</v>
      </c>
      <c r="H384" s="246" t="s">
        <v>7504</v>
      </c>
      <c r="I384" s="245" t="s">
        <v>32</v>
      </c>
      <c r="J384" s="61"/>
      <c r="K384" s="61"/>
      <c r="L384" s="61"/>
      <c r="M384" s="61"/>
      <c r="N384" s="61"/>
      <c r="O384" s="61"/>
      <c r="P384" s="61"/>
      <c r="Q384" s="61"/>
      <c r="R384" s="61"/>
      <c r="S384" s="61"/>
      <c r="T384" s="61"/>
      <c r="U384" s="61"/>
      <c r="V384" s="61"/>
      <c r="W384" s="61"/>
      <c r="X384" s="61"/>
      <c r="Y384" s="61"/>
      <c r="Z384" s="61"/>
    </row>
    <row r="385" spans="1:26" ht="57">
      <c r="A385" s="243" t="s">
        <v>7531</v>
      </c>
      <c r="B385" s="246" t="s">
        <v>7533</v>
      </c>
      <c r="C385" s="246" t="s">
        <v>7534</v>
      </c>
      <c r="D385" s="245" t="s">
        <v>7489</v>
      </c>
      <c r="E385" s="245" t="s">
        <v>7496</v>
      </c>
      <c r="F385" s="245" t="s">
        <v>46</v>
      </c>
      <c r="G385" s="227" t="s">
        <v>7537</v>
      </c>
      <c r="H385" s="246" t="s">
        <v>7504</v>
      </c>
      <c r="I385" s="245" t="s">
        <v>32</v>
      </c>
      <c r="J385" s="61"/>
      <c r="K385" s="61"/>
      <c r="L385" s="61"/>
      <c r="M385" s="61"/>
      <c r="N385" s="61"/>
      <c r="O385" s="61"/>
      <c r="P385" s="61"/>
      <c r="Q385" s="61"/>
      <c r="R385" s="61"/>
      <c r="S385" s="61"/>
      <c r="T385" s="61"/>
      <c r="U385" s="61"/>
      <c r="V385" s="61"/>
      <c r="W385" s="61"/>
      <c r="X385" s="61"/>
      <c r="Y385" s="61"/>
      <c r="Z385" s="61"/>
    </row>
    <row r="386" spans="1:26" ht="57">
      <c r="A386" s="243" t="s">
        <v>7547</v>
      </c>
      <c r="B386" s="246" t="s">
        <v>7548</v>
      </c>
      <c r="C386" s="246" t="s">
        <v>7534</v>
      </c>
      <c r="D386" s="245" t="s">
        <v>7489</v>
      </c>
      <c r="E386" s="245" t="s">
        <v>7496</v>
      </c>
      <c r="F386" s="245" t="s">
        <v>46</v>
      </c>
      <c r="G386" s="227" t="s">
        <v>7549</v>
      </c>
      <c r="H386" s="246" t="s">
        <v>7504</v>
      </c>
      <c r="I386" s="245" t="s">
        <v>32</v>
      </c>
      <c r="J386" s="61"/>
      <c r="K386" s="61"/>
      <c r="L386" s="61"/>
      <c r="M386" s="61"/>
      <c r="N386" s="61"/>
      <c r="O386" s="61"/>
      <c r="P386" s="61"/>
      <c r="Q386" s="61"/>
      <c r="R386" s="61"/>
      <c r="S386" s="61"/>
      <c r="T386" s="61"/>
      <c r="U386" s="61"/>
      <c r="V386" s="61"/>
      <c r="W386" s="61"/>
      <c r="X386" s="61"/>
      <c r="Y386" s="61"/>
      <c r="Z386" s="61"/>
    </row>
    <row r="387" spans="1:26" ht="42" customHeight="1">
      <c r="A387" s="247" t="s">
        <v>7558</v>
      </c>
      <c r="B387" s="246" t="s">
        <v>7560</v>
      </c>
      <c r="C387" s="245" t="s">
        <v>7564</v>
      </c>
      <c r="D387" s="245" t="s">
        <v>7489</v>
      </c>
      <c r="E387" s="245" t="s">
        <v>7496</v>
      </c>
      <c r="F387" s="245" t="s">
        <v>46</v>
      </c>
      <c r="G387" s="227" t="s">
        <v>7567</v>
      </c>
      <c r="H387" s="245" t="s">
        <v>7504</v>
      </c>
      <c r="I387" s="245" t="s">
        <v>63</v>
      </c>
      <c r="J387" s="61"/>
      <c r="K387" s="61"/>
      <c r="L387" s="61"/>
      <c r="M387" s="61"/>
      <c r="N387" s="61"/>
      <c r="O387" s="61"/>
      <c r="P387" s="61"/>
      <c r="Q387" s="61"/>
      <c r="R387" s="61"/>
      <c r="S387" s="61"/>
      <c r="T387" s="61"/>
      <c r="U387" s="61"/>
      <c r="V387" s="61"/>
      <c r="W387" s="61"/>
      <c r="X387" s="61"/>
      <c r="Y387" s="61"/>
      <c r="Z387" s="61"/>
    </row>
    <row r="388" spans="1:26" ht="77.25" customHeight="1">
      <c r="A388" s="243" t="s">
        <v>7576</v>
      </c>
      <c r="B388" s="246" t="s">
        <v>7577</v>
      </c>
      <c r="C388" s="248" t="s">
        <v>7578</v>
      </c>
      <c r="D388" s="245" t="s">
        <v>7489</v>
      </c>
      <c r="E388" s="245" t="s">
        <v>7496</v>
      </c>
      <c r="F388" s="245" t="s">
        <v>46</v>
      </c>
      <c r="G388" s="225" t="s">
        <v>7582</v>
      </c>
      <c r="H388" s="245" t="s">
        <v>7504</v>
      </c>
      <c r="I388" s="245" t="s">
        <v>161</v>
      </c>
      <c r="J388" s="61"/>
      <c r="K388" s="61"/>
      <c r="L388" s="61"/>
      <c r="M388" s="61"/>
      <c r="N388" s="61"/>
      <c r="O388" s="61"/>
      <c r="P388" s="61"/>
      <c r="Q388" s="61"/>
      <c r="R388" s="61"/>
      <c r="S388" s="61"/>
      <c r="T388" s="61"/>
      <c r="U388" s="61"/>
      <c r="V388" s="61"/>
      <c r="W388" s="61"/>
      <c r="X388" s="61"/>
      <c r="Y388" s="61"/>
      <c r="Z388" s="61"/>
    </row>
    <row r="389" spans="1:26" ht="293">
      <c r="A389" s="35" t="s">
        <v>7589</v>
      </c>
      <c r="B389" s="60" t="s">
        <v>7590</v>
      </c>
      <c r="C389" s="15" t="s">
        <v>7591</v>
      </c>
      <c r="D389" s="35" t="s">
        <v>7592</v>
      </c>
      <c r="E389" s="35" t="s">
        <v>7593</v>
      </c>
      <c r="F389" s="35" t="s">
        <v>46</v>
      </c>
      <c r="G389" s="195" t="s">
        <v>7594</v>
      </c>
      <c r="H389" s="35" t="s">
        <v>7600</v>
      </c>
      <c r="I389" s="249" t="s">
        <v>32</v>
      </c>
      <c r="J389" s="61"/>
      <c r="K389" s="61"/>
      <c r="L389" s="61"/>
      <c r="M389" s="61"/>
      <c r="N389" s="61"/>
      <c r="O389" s="61"/>
      <c r="P389" s="61"/>
      <c r="Q389" s="61"/>
      <c r="R389" s="61"/>
      <c r="S389" s="61"/>
      <c r="T389" s="61"/>
      <c r="U389" s="61"/>
      <c r="V389" s="61"/>
      <c r="W389" s="61"/>
      <c r="X389" s="61"/>
      <c r="Y389" s="61"/>
      <c r="Z389" s="61"/>
    </row>
    <row r="390" spans="1:26" ht="14">
      <c r="A390" s="35" t="s">
        <v>7606</v>
      </c>
      <c r="B390" s="35" t="s">
        <v>7608</v>
      </c>
      <c r="C390" s="35" t="s">
        <v>7610</v>
      </c>
      <c r="D390" s="35" t="s">
        <v>7611</v>
      </c>
      <c r="E390" s="35" t="s">
        <v>2817</v>
      </c>
      <c r="F390" s="35" t="s">
        <v>46</v>
      </c>
      <c r="G390" s="35" t="s">
        <v>662</v>
      </c>
      <c r="H390" s="35" t="s">
        <v>7612</v>
      </c>
      <c r="I390" s="60" t="s">
        <v>32</v>
      </c>
      <c r="J390" s="61"/>
      <c r="K390" s="61"/>
      <c r="L390" s="61"/>
      <c r="M390" s="61"/>
      <c r="N390" s="61"/>
      <c r="O390" s="61"/>
      <c r="P390" s="61"/>
      <c r="Q390" s="61"/>
      <c r="R390" s="61"/>
      <c r="S390" s="61"/>
      <c r="T390" s="61"/>
      <c r="U390" s="61"/>
      <c r="V390" s="61"/>
      <c r="W390" s="61"/>
      <c r="X390" s="61"/>
      <c r="Y390" s="61"/>
      <c r="Z390" s="61"/>
    </row>
    <row r="391" spans="1:26" ht="210">
      <c r="A391" s="72" t="s">
        <v>2936</v>
      </c>
      <c r="B391" s="72" t="s">
        <v>7617</v>
      </c>
      <c r="C391" s="72" t="s">
        <v>7618</v>
      </c>
      <c r="D391" s="72" t="s">
        <v>7619</v>
      </c>
      <c r="E391" s="72" t="s">
        <v>7621</v>
      </c>
      <c r="F391" s="72" t="s">
        <v>46</v>
      </c>
      <c r="G391" s="112" t="s">
        <v>7624</v>
      </c>
      <c r="H391" s="72" t="s">
        <v>7627</v>
      </c>
      <c r="I391" s="77"/>
      <c r="J391" s="77"/>
      <c r="K391" s="77"/>
      <c r="L391" s="77"/>
      <c r="M391" s="77"/>
      <c r="N391" s="77"/>
      <c r="O391" s="77"/>
      <c r="P391" s="77"/>
      <c r="Q391" s="77"/>
      <c r="R391" s="77"/>
      <c r="S391" s="77"/>
      <c r="T391" s="77"/>
      <c r="U391" s="77"/>
      <c r="V391" s="77"/>
      <c r="W391" s="77"/>
      <c r="X391" s="77"/>
      <c r="Y391" s="77"/>
      <c r="Z391" s="77"/>
    </row>
    <row r="392" spans="1:26" ht="168">
      <c r="A392" s="72" t="s">
        <v>7631</v>
      </c>
      <c r="B392" s="72" t="s">
        <v>7632</v>
      </c>
      <c r="C392" s="72" t="s">
        <v>7633</v>
      </c>
      <c r="D392" s="72" t="s">
        <v>7619</v>
      </c>
      <c r="E392" s="72" t="s">
        <v>7621</v>
      </c>
      <c r="F392" s="72" t="s">
        <v>46</v>
      </c>
      <c r="G392" s="112" t="s">
        <v>7634</v>
      </c>
      <c r="H392" s="72" t="s">
        <v>7627</v>
      </c>
      <c r="I392" s="77"/>
      <c r="J392" s="77"/>
      <c r="K392" s="77"/>
      <c r="L392" s="77"/>
      <c r="M392" s="77"/>
      <c r="N392" s="77"/>
      <c r="O392" s="77"/>
      <c r="P392" s="77"/>
      <c r="Q392" s="77"/>
      <c r="R392" s="77"/>
      <c r="S392" s="77"/>
      <c r="T392" s="77"/>
      <c r="U392" s="77"/>
      <c r="V392" s="77"/>
      <c r="W392" s="77"/>
      <c r="X392" s="77"/>
      <c r="Y392" s="77"/>
      <c r="Z392" s="77"/>
    </row>
    <row r="393" spans="1:26" ht="15">
      <c r="A393" s="211" t="s">
        <v>7640</v>
      </c>
      <c r="B393" s="212" t="s">
        <v>7642</v>
      </c>
      <c r="C393" s="212" t="s">
        <v>7644</v>
      </c>
      <c r="D393" s="211" t="s">
        <v>2467</v>
      </c>
      <c r="E393" s="211" t="s">
        <v>7645</v>
      </c>
      <c r="F393" s="211" t="s">
        <v>506</v>
      </c>
      <c r="G393" s="250"/>
      <c r="H393" s="212" t="s">
        <v>7649</v>
      </c>
      <c r="I393" s="211" t="s">
        <v>7650</v>
      </c>
      <c r="J393" s="61"/>
      <c r="K393" s="61"/>
      <c r="L393" s="61"/>
      <c r="M393" s="61"/>
      <c r="N393" s="61"/>
      <c r="O393" s="61"/>
      <c r="P393" s="61"/>
      <c r="Q393" s="61"/>
      <c r="R393" s="61"/>
      <c r="S393" s="61"/>
      <c r="T393" s="61"/>
      <c r="U393" s="61"/>
      <c r="V393" s="61"/>
      <c r="W393" s="61"/>
      <c r="X393" s="61"/>
      <c r="Y393" s="61"/>
      <c r="Z393" s="61"/>
    </row>
    <row r="394" spans="1:26" ht="15">
      <c r="A394" s="211" t="s">
        <v>2228</v>
      </c>
      <c r="B394" s="212" t="s">
        <v>7655</v>
      </c>
      <c r="C394" s="212" t="s">
        <v>7656</v>
      </c>
      <c r="D394" s="211" t="s">
        <v>2467</v>
      </c>
      <c r="E394" s="211" t="s">
        <v>7645</v>
      </c>
      <c r="F394" s="211" t="s">
        <v>506</v>
      </c>
      <c r="G394" s="251"/>
      <c r="H394" s="212" t="s">
        <v>7649</v>
      </c>
      <c r="I394" s="211" t="s">
        <v>7650</v>
      </c>
      <c r="J394" s="61"/>
      <c r="K394" s="61"/>
      <c r="L394" s="61"/>
      <c r="M394" s="61"/>
      <c r="N394" s="61"/>
      <c r="O394" s="61"/>
      <c r="P394" s="61"/>
      <c r="Q394" s="61"/>
      <c r="R394" s="61"/>
      <c r="S394" s="61"/>
      <c r="T394" s="61"/>
      <c r="U394" s="61"/>
      <c r="V394" s="61"/>
      <c r="W394" s="61"/>
      <c r="X394" s="61"/>
      <c r="Y394" s="61"/>
      <c r="Z394" s="61"/>
    </row>
    <row r="395" spans="1:26" ht="126">
      <c r="A395" s="60" t="s">
        <v>7665</v>
      </c>
      <c r="B395" s="60" t="s">
        <v>7666</v>
      </c>
      <c r="C395" s="60" t="s">
        <v>7667</v>
      </c>
      <c r="D395" s="60" t="s">
        <v>7668</v>
      </c>
      <c r="E395" s="60" t="s">
        <v>7669</v>
      </c>
      <c r="F395" s="60" t="s">
        <v>46</v>
      </c>
      <c r="G395" s="219" t="s">
        <v>7671</v>
      </c>
      <c r="H395" s="60" t="s">
        <v>7683</v>
      </c>
      <c r="I395" s="60" t="s">
        <v>63</v>
      </c>
      <c r="J395" s="61"/>
      <c r="K395" s="61"/>
      <c r="L395" s="61"/>
      <c r="M395" s="61"/>
      <c r="N395" s="61"/>
      <c r="O395" s="61"/>
      <c r="P395" s="61"/>
      <c r="Q395" s="61"/>
      <c r="R395" s="61"/>
      <c r="S395" s="61"/>
      <c r="T395" s="61"/>
      <c r="U395" s="61"/>
      <c r="V395" s="61"/>
      <c r="W395" s="61"/>
      <c r="X395" s="61"/>
      <c r="Y395" s="61"/>
      <c r="Z395" s="61"/>
    </row>
    <row r="396" spans="1:26" ht="112">
      <c r="A396" s="60" t="s">
        <v>7685</v>
      </c>
      <c r="B396" s="60" t="s">
        <v>7686</v>
      </c>
      <c r="C396" s="60" t="s">
        <v>7687</v>
      </c>
      <c r="D396" s="60" t="s">
        <v>7668</v>
      </c>
      <c r="E396" s="60" t="s">
        <v>7669</v>
      </c>
      <c r="F396" s="60" t="s">
        <v>46</v>
      </c>
      <c r="G396" s="38" t="s">
        <v>7692</v>
      </c>
      <c r="H396" s="60" t="s">
        <v>7683</v>
      </c>
      <c r="I396" s="60" t="s">
        <v>63</v>
      </c>
      <c r="J396" s="61"/>
      <c r="K396" s="61"/>
      <c r="L396" s="61"/>
      <c r="M396" s="61"/>
      <c r="N396" s="61"/>
      <c r="O396" s="61"/>
      <c r="P396" s="61"/>
      <c r="Q396" s="61"/>
      <c r="R396" s="61"/>
      <c r="S396" s="61"/>
      <c r="T396" s="61"/>
      <c r="U396" s="61"/>
      <c r="V396" s="61"/>
      <c r="W396" s="61"/>
      <c r="X396" s="61"/>
      <c r="Y396" s="61"/>
      <c r="Z396" s="61"/>
    </row>
    <row r="397" spans="1:26" ht="112">
      <c r="A397" s="60" t="s">
        <v>7702</v>
      </c>
      <c r="B397" s="60" t="s">
        <v>7704</v>
      </c>
      <c r="C397" s="60" t="s">
        <v>7705</v>
      </c>
      <c r="D397" s="60" t="s">
        <v>7668</v>
      </c>
      <c r="E397" s="60" t="s">
        <v>7669</v>
      </c>
      <c r="F397" s="60" t="s">
        <v>46</v>
      </c>
      <c r="G397" s="38" t="s">
        <v>7708</v>
      </c>
      <c r="H397" s="60" t="s">
        <v>7683</v>
      </c>
      <c r="I397" s="60" t="s">
        <v>63</v>
      </c>
      <c r="J397" s="61"/>
      <c r="K397" s="61"/>
      <c r="L397" s="61"/>
      <c r="M397" s="61"/>
      <c r="N397" s="61"/>
      <c r="O397" s="61"/>
      <c r="P397" s="61"/>
      <c r="Q397" s="61"/>
      <c r="R397" s="61"/>
      <c r="S397" s="61"/>
      <c r="T397" s="61"/>
      <c r="U397" s="61"/>
      <c r="V397" s="61"/>
      <c r="W397" s="61"/>
      <c r="X397" s="61"/>
      <c r="Y397" s="61"/>
      <c r="Z397" s="61"/>
    </row>
    <row r="398" spans="1:26" ht="112">
      <c r="A398" s="60" t="s">
        <v>7717</v>
      </c>
      <c r="B398" s="60" t="s">
        <v>7718</v>
      </c>
      <c r="C398" s="60" t="s">
        <v>7719</v>
      </c>
      <c r="D398" s="60" t="s">
        <v>7668</v>
      </c>
      <c r="E398" s="60" t="s">
        <v>7669</v>
      </c>
      <c r="F398" s="60" t="s">
        <v>46</v>
      </c>
      <c r="G398" s="38" t="s">
        <v>7720</v>
      </c>
      <c r="H398" s="60" t="s">
        <v>7683</v>
      </c>
      <c r="I398" s="60" t="s">
        <v>63</v>
      </c>
      <c r="J398" s="61"/>
      <c r="K398" s="61"/>
      <c r="L398" s="61"/>
      <c r="M398" s="61"/>
      <c r="N398" s="61"/>
      <c r="O398" s="61"/>
      <c r="P398" s="61"/>
      <c r="Q398" s="61"/>
      <c r="R398" s="61"/>
      <c r="S398" s="61"/>
      <c r="T398" s="61"/>
      <c r="U398" s="61"/>
      <c r="V398" s="61"/>
      <c r="W398" s="61"/>
      <c r="X398" s="61"/>
      <c r="Y398" s="61"/>
      <c r="Z398" s="61"/>
    </row>
    <row r="399" spans="1:26" ht="182">
      <c r="A399" s="60" t="s">
        <v>7724</v>
      </c>
      <c r="B399" s="60" t="s">
        <v>7725</v>
      </c>
      <c r="C399" s="60" t="s">
        <v>7726</v>
      </c>
      <c r="D399" s="60" t="s">
        <v>7668</v>
      </c>
      <c r="E399" s="60" t="s">
        <v>7669</v>
      </c>
      <c r="F399" s="60" t="s">
        <v>46</v>
      </c>
      <c r="G399" s="38" t="s">
        <v>7727</v>
      </c>
      <c r="H399" s="60" t="s">
        <v>7683</v>
      </c>
      <c r="I399" s="60" t="s">
        <v>32</v>
      </c>
      <c r="J399" s="61"/>
      <c r="K399" s="61"/>
      <c r="L399" s="61"/>
      <c r="M399" s="61"/>
      <c r="N399" s="61"/>
      <c r="O399" s="61"/>
      <c r="P399" s="61"/>
      <c r="Q399" s="61"/>
      <c r="R399" s="61"/>
      <c r="S399" s="61"/>
      <c r="T399" s="61"/>
      <c r="U399" s="61"/>
      <c r="V399" s="61"/>
      <c r="W399" s="61"/>
      <c r="X399" s="61"/>
      <c r="Y399" s="61"/>
      <c r="Z399" s="61"/>
    </row>
    <row r="400" spans="1:26" ht="126">
      <c r="A400" s="60" t="s">
        <v>7734</v>
      </c>
      <c r="B400" s="60" t="s">
        <v>7735</v>
      </c>
      <c r="C400" s="60" t="s">
        <v>7736</v>
      </c>
      <c r="D400" s="60" t="s">
        <v>7668</v>
      </c>
      <c r="E400" s="60" t="s">
        <v>7669</v>
      </c>
      <c r="F400" s="60" t="s">
        <v>46</v>
      </c>
      <c r="G400" s="38" t="s">
        <v>7739</v>
      </c>
      <c r="H400" s="60" t="s">
        <v>7683</v>
      </c>
      <c r="I400" s="60" t="s">
        <v>257</v>
      </c>
      <c r="J400" s="61"/>
      <c r="K400" s="61"/>
      <c r="L400" s="61"/>
      <c r="M400" s="61"/>
      <c r="N400" s="61"/>
      <c r="O400" s="61"/>
      <c r="P400" s="61"/>
      <c r="Q400" s="61"/>
      <c r="R400" s="61"/>
      <c r="S400" s="61"/>
      <c r="T400" s="61"/>
      <c r="U400" s="61"/>
      <c r="V400" s="61"/>
      <c r="W400" s="61"/>
      <c r="X400" s="61"/>
      <c r="Y400" s="61"/>
      <c r="Z400" s="61"/>
    </row>
    <row r="401" spans="1:26" ht="14">
      <c r="A401" s="177" t="s">
        <v>798</v>
      </c>
      <c r="B401" s="60" t="s">
        <v>7748</v>
      </c>
      <c r="C401" s="177" t="s">
        <v>7749</v>
      </c>
      <c r="D401" s="177" t="s">
        <v>7750</v>
      </c>
      <c r="F401" s="177" t="s">
        <v>46</v>
      </c>
      <c r="G401" s="252" t="s">
        <v>7751</v>
      </c>
      <c r="H401" s="177" t="s">
        <v>7459</v>
      </c>
      <c r="I401" s="177"/>
      <c r="J401" s="60" t="s">
        <v>32</v>
      </c>
      <c r="K401" s="61"/>
      <c r="L401" s="61"/>
      <c r="M401" s="61"/>
      <c r="N401" s="61"/>
      <c r="O401" s="61"/>
      <c r="P401" s="61"/>
      <c r="Q401" s="61"/>
      <c r="R401" s="61"/>
      <c r="S401" s="61"/>
      <c r="T401" s="61"/>
      <c r="U401" s="61"/>
      <c r="V401" s="61"/>
      <c r="W401" s="61"/>
      <c r="X401" s="61"/>
      <c r="Y401" s="61"/>
      <c r="Z401" s="61"/>
    </row>
    <row r="402" spans="1:26" ht="28">
      <c r="A402" s="177" t="s">
        <v>7768</v>
      </c>
      <c r="B402" s="60" t="s">
        <v>7769</v>
      </c>
      <c r="C402" s="177" t="s">
        <v>7770</v>
      </c>
      <c r="D402" s="177" t="s">
        <v>7750</v>
      </c>
      <c r="F402" s="177" t="s">
        <v>46</v>
      </c>
      <c r="G402" s="252" t="s">
        <v>7771</v>
      </c>
      <c r="H402" s="177" t="s">
        <v>7459</v>
      </c>
      <c r="I402" s="60" t="s">
        <v>296</v>
      </c>
      <c r="K402" s="61"/>
      <c r="L402" s="61"/>
      <c r="M402" s="61"/>
      <c r="N402" s="61"/>
      <c r="O402" s="61"/>
      <c r="P402" s="61"/>
      <c r="Q402" s="61"/>
      <c r="R402" s="61"/>
      <c r="S402" s="61"/>
      <c r="T402" s="61"/>
      <c r="U402" s="61"/>
      <c r="V402" s="61"/>
      <c r="W402" s="61"/>
      <c r="X402" s="61"/>
      <c r="Y402" s="61"/>
      <c r="Z402" s="61"/>
    </row>
    <row r="403" spans="1:26" ht="13">
      <c r="A403" s="253" t="s">
        <v>7785</v>
      </c>
      <c r="B403" s="253" t="s">
        <v>7790</v>
      </c>
      <c r="C403" s="253" t="s">
        <v>7791</v>
      </c>
      <c r="D403" s="253" t="s">
        <v>7750</v>
      </c>
      <c r="F403" s="253" t="s">
        <v>46</v>
      </c>
      <c r="G403" s="254" t="s">
        <v>7792</v>
      </c>
      <c r="H403" s="253" t="s">
        <v>7459</v>
      </c>
      <c r="I403" s="253" t="s">
        <v>134</v>
      </c>
      <c r="J403" s="60"/>
      <c r="K403" s="61"/>
      <c r="L403" s="61"/>
      <c r="M403" s="61"/>
      <c r="N403" s="61"/>
      <c r="O403" s="61"/>
      <c r="P403" s="61"/>
      <c r="Q403" s="61"/>
      <c r="R403" s="61"/>
      <c r="S403" s="61"/>
      <c r="T403" s="61"/>
      <c r="U403" s="61"/>
      <c r="V403" s="61"/>
      <c r="W403" s="61"/>
      <c r="X403" s="61"/>
      <c r="Y403" s="61"/>
      <c r="Z403" s="61"/>
    </row>
    <row r="404" spans="1:26" ht="28">
      <c r="A404" s="177" t="s">
        <v>7811</v>
      </c>
      <c r="B404" s="60" t="s">
        <v>7812</v>
      </c>
      <c r="C404" s="177" t="s">
        <v>7813</v>
      </c>
      <c r="D404" s="177" t="s">
        <v>7750</v>
      </c>
      <c r="F404" s="177" t="s">
        <v>46</v>
      </c>
      <c r="G404" s="252" t="s">
        <v>7814</v>
      </c>
      <c r="H404" s="177" t="s">
        <v>7459</v>
      </c>
      <c r="I404" s="60" t="s">
        <v>296</v>
      </c>
      <c r="K404" s="61"/>
      <c r="L404" s="61"/>
      <c r="M404" s="61"/>
      <c r="N404" s="61"/>
      <c r="O404" s="61"/>
      <c r="P404" s="61"/>
      <c r="Q404" s="61"/>
      <c r="R404" s="61"/>
      <c r="S404" s="61"/>
      <c r="T404" s="61"/>
      <c r="U404" s="61"/>
      <c r="V404" s="61"/>
      <c r="W404" s="61"/>
      <c r="X404" s="61"/>
      <c r="Y404" s="61"/>
      <c r="Z404" s="61"/>
    </row>
    <row r="405" spans="1:26" ht="293">
      <c r="A405" s="172" t="s">
        <v>7833</v>
      </c>
      <c r="B405" s="60" t="s">
        <v>7834</v>
      </c>
      <c r="C405" s="60" t="s">
        <v>7835</v>
      </c>
      <c r="D405" s="60" t="s">
        <v>7836</v>
      </c>
      <c r="E405" s="60" t="s">
        <v>7837</v>
      </c>
      <c r="F405" s="60" t="s">
        <v>7839</v>
      </c>
      <c r="G405" s="255" t="s">
        <v>7842</v>
      </c>
      <c r="H405" s="60" t="s">
        <v>7855</v>
      </c>
      <c r="I405" s="60" t="s">
        <v>134</v>
      </c>
      <c r="J405" s="61"/>
      <c r="K405" s="61"/>
      <c r="L405" s="61"/>
      <c r="M405" s="61"/>
      <c r="N405" s="61"/>
      <c r="O405" s="61"/>
      <c r="P405" s="61"/>
      <c r="Q405" s="61"/>
      <c r="R405" s="61"/>
      <c r="S405" s="61"/>
      <c r="T405" s="61"/>
      <c r="U405" s="61"/>
      <c r="V405" s="61"/>
      <c r="W405" s="61"/>
      <c r="X405" s="61"/>
      <c r="Y405" s="61"/>
      <c r="Z405" s="61"/>
    </row>
    <row r="406" spans="1:26" ht="252">
      <c r="A406" s="172" t="s">
        <v>7861</v>
      </c>
      <c r="B406" s="60" t="s">
        <v>7865</v>
      </c>
      <c r="C406" s="60" t="s">
        <v>7867</v>
      </c>
      <c r="D406" s="60" t="s">
        <v>7836</v>
      </c>
      <c r="E406" s="60" t="s">
        <v>7837</v>
      </c>
      <c r="F406" s="60" t="s">
        <v>668</v>
      </c>
      <c r="G406" s="255" t="s">
        <v>7842</v>
      </c>
      <c r="H406" s="60" t="s">
        <v>7855</v>
      </c>
      <c r="I406" s="60" t="s">
        <v>296</v>
      </c>
      <c r="J406" s="61"/>
      <c r="K406" s="61"/>
      <c r="L406" s="61"/>
      <c r="M406" s="61"/>
      <c r="N406" s="61"/>
      <c r="O406" s="61"/>
      <c r="P406" s="61"/>
      <c r="Q406" s="61"/>
      <c r="R406" s="61"/>
      <c r="S406" s="61"/>
      <c r="T406" s="61"/>
      <c r="U406" s="61"/>
      <c r="V406" s="61"/>
      <c r="W406" s="61"/>
      <c r="X406" s="61"/>
      <c r="Y406" s="61"/>
      <c r="Z406" s="61"/>
    </row>
    <row r="407" spans="1:26" ht="182">
      <c r="A407" s="256" t="s">
        <v>7877</v>
      </c>
      <c r="B407" s="60" t="s">
        <v>7879</v>
      </c>
      <c r="C407" s="60" t="s">
        <v>7880</v>
      </c>
      <c r="D407" s="60" t="s">
        <v>7836</v>
      </c>
      <c r="E407" s="60" t="s">
        <v>7837</v>
      </c>
      <c r="F407" s="60" t="s">
        <v>1958</v>
      </c>
      <c r="G407" s="219" t="s">
        <v>7881</v>
      </c>
      <c r="H407" s="60" t="s">
        <v>7855</v>
      </c>
      <c r="I407" s="60" t="s">
        <v>161</v>
      </c>
      <c r="J407" s="61"/>
      <c r="K407" s="61"/>
      <c r="L407" s="61"/>
      <c r="M407" s="61"/>
      <c r="N407" s="61"/>
      <c r="O407" s="61"/>
      <c r="P407" s="61"/>
      <c r="Q407" s="61"/>
      <c r="R407" s="61"/>
      <c r="S407" s="61"/>
      <c r="T407" s="61"/>
      <c r="U407" s="61"/>
      <c r="V407" s="61"/>
      <c r="W407" s="61"/>
      <c r="X407" s="61"/>
      <c r="Y407" s="61"/>
      <c r="Z407" s="61"/>
    </row>
    <row r="408" spans="1:26" ht="13">
      <c r="A408" s="257" t="s">
        <v>7886</v>
      </c>
      <c r="B408" s="258" t="s">
        <v>7894</v>
      </c>
      <c r="C408" s="258" t="s">
        <v>7895</v>
      </c>
      <c r="D408" s="258" t="s">
        <v>7899</v>
      </c>
      <c r="E408" s="258" t="s">
        <v>7901</v>
      </c>
      <c r="F408" s="258" t="s">
        <v>46</v>
      </c>
      <c r="G408" s="259" t="s">
        <v>7902</v>
      </c>
      <c r="H408" s="260" t="s">
        <v>7912</v>
      </c>
      <c r="I408" s="258" t="s">
        <v>63</v>
      </c>
      <c r="J408" s="61"/>
      <c r="K408" s="61"/>
      <c r="L408" s="61"/>
      <c r="M408" s="61"/>
      <c r="N408" s="61"/>
      <c r="O408" s="61"/>
      <c r="P408" s="61"/>
      <c r="Q408" s="61"/>
      <c r="R408" s="61"/>
      <c r="S408" s="61"/>
      <c r="T408" s="61"/>
      <c r="U408" s="61"/>
      <c r="V408" s="61"/>
      <c r="W408" s="61"/>
      <c r="X408" s="61"/>
      <c r="Y408" s="61"/>
      <c r="Z408" s="61"/>
    </row>
    <row r="409" spans="1:26" ht="13">
      <c r="A409" s="257" t="s">
        <v>7921</v>
      </c>
      <c r="B409" s="258" t="s">
        <v>7922</v>
      </c>
      <c r="C409" s="258" t="s">
        <v>7923</v>
      </c>
      <c r="D409" s="258" t="s">
        <v>7924</v>
      </c>
      <c r="E409" s="258" t="s">
        <v>445</v>
      </c>
      <c r="F409" s="258" t="s">
        <v>7926</v>
      </c>
      <c r="G409" s="261" t="s">
        <v>7929</v>
      </c>
      <c r="H409" s="262" t="s">
        <v>7937</v>
      </c>
      <c r="I409" s="258" t="s">
        <v>32</v>
      </c>
      <c r="J409" s="61"/>
      <c r="K409" s="61"/>
      <c r="L409" s="61"/>
      <c r="M409" s="61"/>
      <c r="N409" s="61"/>
      <c r="O409" s="61"/>
      <c r="P409" s="61"/>
      <c r="Q409" s="61"/>
      <c r="R409" s="61"/>
      <c r="S409" s="61"/>
      <c r="T409" s="61"/>
      <c r="U409" s="61"/>
      <c r="V409" s="61"/>
      <c r="W409" s="61"/>
      <c r="X409" s="61"/>
      <c r="Y409" s="61"/>
      <c r="Z409" s="61"/>
    </row>
    <row r="410" spans="1:26" ht="13">
      <c r="A410" s="257" t="s">
        <v>508</v>
      </c>
      <c r="B410" s="258" t="s">
        <v>7946</v>
      </c>
      <c r="C410" s="258" t="s">
        <v>7947</v>
      </c>
      <c r="D410" s="258" t="s">
        <v>7924</v>
      </c>
      <c r="E410" s="258" t="s">
        <v>445</v>
      </c>
      <c r="F410" s="258" t="s">
        <v>7926</v>
      </c>
      <c r="G410" s="261" t="s">
        <v>7929</v>
      </c>
      <c r="H410" s="262" t="s">
        <v>7937</v>
      </c>
      <c r="I410" s="258" t="s">
        <v>32</v>
      </c>
      <c r="J410" s="61"/>
      <c r="K410" s="61"/>
      <c r="L410" s="61"/>
      <c r="M410" s="61"/>
      <c r="N410" s="61"/>
      <c r="O410" s="61"/>
      <c r="P410" s="61"/>
      <c r="Q410" s="61"/>
      <c r="R410" s="61"/>
      <c r="S410" s="61"/>
      <c r="T410" s="61"/>
      <c r="U410" s="61"/>
      <c r="V410" s="61"/>
      <c r="W410" s="61"/>
      <c r="X410" s="61"/>
      <c r="Y410" s="61"/>
      <c r="Z410" s="61"/>
    </row>
    <row r="411" spans="1:26" ht="13">
      <c r="A411" s="257" t="s">
        <v>7959</v>
      </c>
      <c r="B411" s="258" t="s">
        <v>7946</v>
      </c>
      <c r="C411" s="258" t="s">
        <v>7962</v>
      </c>
      <c r="D411" s="258" t="s">
        <v>7924</v>
      </c>
      <c r="E411" s="258" t="s">
        <v>445</v>
      </c>
      <c r="F411" s="258" t="s">
        <v>7926</v>
      </c>
      <c r="G411" s="261" t="s">
        <v>7929</v>
      </c>
      <c r="H411" s="262" t="s">
        <v>7937</v>
      </c>
      <c r="I411" s="258" t="s">
        <v>32</v>
      </c>
      <c r="J411" s="61"/>
      <c r="K411" s="61"/>
      <c r="L411" s="61"/>
      <c r="M411" s="61"/>
      <c r="N411" s="61"/>
      <c r="O411" s="61"/>
      <c r="P411" s="61"/>
      <c r="Q411" s="61"/>
      <c r="R411" s="61"/>
      <c r="S411" s="61"/>
      <c r="T411" s="61"/>
      <c r="U411" s="61"/>
      <c r="V411" s="61"/>
      <c r="W411" s="61"/>
      <c r="X411" s="61"/>
      <c r="Y411" s="61"/>
      <c r="Z411" s="61"/>
    </row>
    <row r="412" spans="1:26" ht="126">
      <c r="A412" s="60" t="s">
        <v>7008</v>
      </c>
      <c r="B412" s="60" t="s">
        <v>7969</v>
      </c>
      <c r="C412" s="60" t="s">
        <v>7970</v>
      </c>
      <c r="D412" s="60" t="s">
        <v>7971</v>
      </c>
      <c r="E412" s="60" t="s">
        <v>3045</v>
      </c>
      <c r="F412" s="60" t="s">
        <v>46</v>
      </c>
      <c r="G412" s="38" t="s">
        <v>7975</v>
      </c>
      <c r="H412" s="60" t="s">
        <v>7981</v>
      </c>
      <c r="I412" s="60" t="s">
        <v>32</v>
      </c>
      <c r="J412" s="61"/>
      <c r="K412" s="61"/>
      <c r="L412" s="61"/>
      <c r="M412" s="61"/>
      <c r="N412" s="61"/>
      <c r="O412" s="61"/>
      <c r="P412" s="61"/>
      <c r="Q412" s="61"/>
      <c r="R412" s="61"/>
      <c r="S412" s="61"/>
      <c r="T412" s="61"/>
      <c r="U412" s="61"/>
      <c r="V412" s="61"/>
      <c r="W412" s="61"/>
      <c r="X412" s="61"/>
      <c r="Y412" s="61"/>
      <c r="Z412" s="61"/>
    </row>
    <row r="413" spans="1:26" ht="154">
      <c r="A413" s="60" t="s">
        <v>798</v>
      </c>
      <c r="B413" s="60" t="s">
        <v>7988</v>
      </c>
      <c r="C413" s="60" t="s">
        <v>7990</v>
      </c>
      <c r="D413" s="60" t="s">
        <v>7971</v>
      </c>
      <c r="E413" s="60" t="s">
        <v>3045</v>
      </c>
      <c r="F413" s="60" t="s">
        <v>46</v>
      </c>
      <c r="G413" s="38" t="s">
        <v>7991</v>
      </c>
      <c r="H413" s="60" t="s">
        <v>7981</v>
      </c>
      <c r="I413" s="60" t="s">
        <v>32</v>
      </c>
      <c r="J413" s="61"/>
      <c r="K413" s="61"/>
      <c r="L413" s="61"/>
      <c r="M413" s="61"/>
      <c r="N413" s="61"/>
      <c r="O413" s="61"/>
      <c r="P413" s="61"/>
      <c r="Q413" s="61"/>
      <c r="R413" s="61"/>
      <c r="S413" s="61"/>
      <c r="T413" s="61"/>
      <c r="U413" s="61"/>
      <c r="V413" s="61"/>
      <c r="W413" s="61"/>
      <c r="X413" s="61"/>
      <c r="Y413" s="61"/>
      <c r="Z413" s="61"/>
    </row>
    <row r="414" spans="1:26" ht="154">
      <c r="A414" s="60" t="s">
        <v>8003</v>
      </c>
      <c r="B414" s="60" t="s">
        <v>8005</v>
      </c>
      <c r="C414" s="60" t="s">
        <v>8006</v>
      </c>
      <c r="D414" s="60" t="s">
        <v>8007</v>
      </c>
      <c r="E414" s="60" t="s">
        <v>3022</v>
      </c>
      <c r="F414" s="60" t="s">
        <v>46</v>
      </c>
      <c r="G414" s="219" t="s">
        <v>8008</v>
      </c>
      <c r="H414" s="60" t="s">
        <v>7981</v>
      </c>
      <c r="I414" s="60" t="s">
        <v>257</v>
      </c>
      <c r="J414" s="61"/>
      <c r="K414" s="61"/>
      <c r="L414" s="61"/>
      <c r="M414" s="61"/>
      <c r="N414" s="61"/>
      <c r="O414" s="61"/>
      <c r="P414" s="61"/>
      <c r="Q414" s="61"/>
      <c r="R414" s="61"/>
      <c r="S414" s="61"/>
      <c r="T414" s="61"/>
      <c r="U414" s="61"/>
      <c r="V414" s="61"/>
      <c r="W414" s="61"/>
      <c r="X414" s="61"/>
      <c r="Y414" s="61"/>
      <c r="Z414" s="61"/>
    </row>
    <row r="415" spans="1:26" ht="70">
      <c r="A415" s="60" t="s">
        <v>8016</v>
      </c>
      <c r="B415" s="60" t="s">
        <v>8017</v>
      </c>
      <c r="C415" s="60" t="s">
        <v>8019</v>
      </c>
      <c r="D415" s="60" t="s">
        <v>8007</v>
      </c>
      <c r="E415" s="60" t="s">
        <v>3022</v>
      </c>
      <c r="F415" s="60" t="s">
        <v>46</v>
      </c>
      <c r="G415" s="219" t="s">
        <v>8021</v>
      </c>
      <c r="H415" s="60" t="s">
        <v>7981</v>
      </c>
      <c r="I415" s="60" t="s">
        <v>433</v>
      </c>
      <c r="J415" s="61"/>
      <c r="K415" s="61"/>
      <c r="L415" s="61"/>
      <c r="M415" s="61"/>
      <c r="N415" s="61"/>
      <c r="O415" s="61"/>
      <c r="P415" s="61"/>
      <c r="Q415" s="61"/>
      <c r="R415" s="61"/>
      <c r="S415" s="61"/>
      <c r="T415" s="61"/>
      <c r="U415" s="61"/>
      <c r="V415" s="61"/>
      <c r="W415" s="61"/>
      <c r="X415" s="61"/>
      <c r="Y415" s="61"/>
      <c r="Z415" s="61"/>
    </row>
    <row r="416" spans="1:26" ht="98">
      <c r="A416" s="60" t="s">
        <v>8030</v>
      </c>
      <c r="B416" s="60" t="s">
        <v>8031</v>
      </c>
      <c r="C416" s="60" t="s">
        <v>8032</v>
      </c>
      <c r="D416" s="60" t="s">
        <v>8007</v>
      </c>
      <c r="E416" s="60" t="s">
        <v>3022</v>
      </c>
      <c r="F416" s="60" t="s">
        <v>46</v>
      </c>
      <c r="G416" s="219" t="s">
        <v>8033</v>
      </c>
      <c r="H416" s="60" t="s">
        <v>7981</v>
      </c>
      <c r="I416" s="60" t="s">
        <v>326</v>
      </c>
      <c r="J416" s="61"/>
      <c r="K416" s="61"/>
      <c r="L416" s="61"/>
      <c r="M416" s="61"/>
      <c r="N416" s="61"/>
      <c r="O416" s="61"/>
      <c r="P416" s="61"/>
      <c r="Q416" s="61"/>
      <c r="R416" s="61"/>
      <c r="S416" s="61"/>
      <c r="T416" s="61"/>
      <c r="U416" s="61"/>
      <c r="V416" s="61"/>
      <c r="W416" s="61"/>
      <c r="X416" s="61"/>
      <c r="Y416" s="61"/>
      <c r="Z416" s="61"/>
    </row>
    <row r="417" spans="1:26" ht="140">
      <c r="A417" s="60" t="s">
        <v>8041</v>
      </c>
      <c r="B417" s="60" t="s">
        <v>8043</v>
      </c>
      <c r="C417" s="60" t="s">
        <v>8045</v>
      </c>
      <c r="D417" s="60" t="s">
        <v>8007</v>
      </c>
      <c r="E417" s="60" t="s">
        <v>3022</v>
      </c>
      <c r="F417" s="60" t="s">
        <v>46</v>
      </c>
      <c r="G417" s="219" t="s">
        <v>8046</v>
      </c>
      <c r="H417" s="60" t="s">
        <v>8049</v>
      </c>
      <c r="I417" s="60" t="s">
        <v>357</v>
      </c>
      <c r="J417" s="61"/>
      <c r="K417" s="61"/>
      <c r="L417" s="61"/>
      <c r="M417" s="61"/>
      <c r="N417" s="61"/>
      <c r="O417" s="61"/>
      <c r="P417" s="61"/>
      <c r="Q417" s="61"/>
      <c r="R417" s="61"/>
      <c r="S417" s="61"/>
      <c r="T417" s="61"/>
      <c r="U417" s="61"/>
      <c r="V417" s="61"/>
      <c r="W417" s="61"/>
      <c r="X417" s="61"/>
      <c r="Y417" s="61"/>
      <c r="Z417" s="61"/>
    </row>
    <row r="418" spans="1:26" ht="42">
      <c r="A418" s="60" t="s">
        <v>8053</v>
      </c>
      <c r="B418" s="60" t="s">
        <v>8054</v>
      </c>
      <c r="C418" s="60" t="s">
        <v>8055</v>
      </c>
      <c r="D418" s="60" t="s">
        <v>8007</v>
      </c>
      <c r="E418" s="60" t="s">
        <v>3022</v>
      </c>
      <c r="F418" s="60" t="s">
        <v>8056</v>
      </c>
      <c r="G418" s="219" t="s">
        <v>8057</v>
      </c>
      <c r="H418" s="60" t="s">
        <v>7981</v>
      </c>
      <c r="I418" s="60" t="s">
        <v>296</v>
      </c>
      <c r="J418" s="61"/>
      <c r="K418" s="61"/>
      <c r="L418" s="61"/>
      <c r="M418" s="61"/>
      <c r="N418" s="61"/>
      <c r="O418" s="61"/>
      <c r="P418" s="61"/>
      <c r="Q418" s="61"/>
      <c r="R418" s="61"/>
      <c r="S418" s="61"/>
      <c r="T418" s="61"/>
      <c r="U418" s="61"/>
      <c r="V418" s="61"/>
      <c r="W418" s="61"/>
      <c r="X418" s="61"/>
      <c r="Y418" s="61"/>
      <c r="Z418" s="61"/>
    </row>
    <row r="419" spans="1:26" ht="13">
      <c r="A419" s="258" t="s">
        <v>1576</v>
      </c>
      <c r="B419" s="258" t="s">
        <v>8063</v>
      </c>
      <c r="C419" s="258" t="s">
        <v>8065</v>
      </c>
      <c r="D419" s="258" t="s">
        <v>8066</v>
      </c>
      <c r="E419" s="258" t="s">
        <v>8067</v>
      </c>
      <c r="F419" s="258" t="s">
        <v>8069</v>
      </c>
      <c r="G419" s="259" t="s">
        <v>8072</v>
      </c>
      <c r="H419" s="258" t="s">
        <v>8075</v>
      </c>
      <c r="I419" s="258" t="s">
        <v>8076</v>
      </c>
      <c r="J419" s="61"/>
      <c r="K419" s="61"/>
      <c r="L419" s="61"/>
      <c r="M419" s="61"/>
      <c r="N419" s="61"/>
      <c r="O419" s="61"/>
      <c r="P419" s="61"/>
      <c r="Q419" s="61"/>
      <c r="R419" s="61"/>
      <c r="S419" s="61"/>
      <c r="T419" s="61"/>
      <c r="U419" s="61"/>
      <c r="V419" s="61"/>
      <c r="W419" s="61"/>
      <c r="X419" s="61"/>
      <c r="Y419" s="61"/>
      <c r="Z419" s="61"/>
    </row>
    <row r="420" spans="1:26" ht="13">
      <c r="A420" s="258" t="s">
        <v>502</v>
      </c>
      <c r="B420" s="258" t="s">
        <v>8077</v>
      </c>
      <c r="C420" s="258" t="s">
        <v>8078</v>
      </c>
      <c r="D420" s="258" t="s">
        <v>8066</v>
      </c>
      <c r="E420" s="258" t="s">
        <v>8067</v>
      </c>
      <c r="F420" s="258" t="s">
        <v>8069</v>
      </c>
      <c r="G420" s="259" t="s">
        <v>8072</v>
      </c>
      <c r="H420" s="258" t="s">
        <v>8075</v>
      </c>
      <c r="I420" s="258" t="s">
        <v>8076</v>
      </c>
      <c r="J420" s="61"/>
      <c r="K420" s="61"/>
      <c r="L420" s="61"/>
      <c r="M420" s="61"/>
      <c r="N420" s="61"/>
      <c r="O420" s="61"/>
      <c r="P420" s="61"/>
      <c r="Q420" s="61"/>
      <c r="R420" s="61"/>
      <c r="S420" s="61"/>
      <c r="T420" s="61"/>
      <c r="U420" s="61"/>
      <c r="V420" s="61"/>
      <c r="W420" s="61"/>
      <c r="X420" s="61"/>
      <c r="Y420" s="61"/>
      <c r="Z420" s="61"/>
    </row>
    <row r="421" spans="1:26" ht="13">
      <c r="A421" s="258" t="s">
        <v>3254</v>
      </c>
      <c r="B421" s="258" t="s">
        <v>8088</v>
      </c>
      <c r="C421" s="258" t="s">
        <v>8090</v>
      </c>
      <c r="D421" s="258" t="s">
        <v>8066</v>
      </c>
      <c r="E421" s="258" t="s">
        <v>8067</v>
      </c>
      <c r="F421" s="258" t="s">
        <v>8069</v>
      </c>
      <c r="G421" s="259" t="s">
        <v>8072</v>
      </c>
      <c r="H421" s="258" t="s">
        <v>8075</v>
      </c>
      <c r="I421" s="258" t="s">
        <v>8076</v>
      </c>
      <c r="J421" s="61"/>
      <c r="K421" s="61"/>
      <c r="L421" s="61"/>
      <c r="M421" s="61"/>
      <c r="N421" s="61"/>
      <c r="O421" s="61"/>
      <c r="P421" s="61"/>
      <c r="Q421" s="61"/>
      <c r="R421" s="61"/>
      <c r="S421" s="61"/>
      <c r="T421" s="61"/>
      <c r="U421" s="61"/>
      <c r="V421" s="61"/>
      <c r="W421" s="61"/>
      <c r="X421" s="61"/>
      <c r="Y421" s="61"/>
      <c r="Z421" s="61"/>
    </row>
    <row r="422" spans="1:26" ht="17.25" customHeight="1">
      <c r="A422" s="263" t="s">
        <v>8102</v>
      </c>
      <c r="B422" s="264" t="s">
        <v>8103</v>
      </c>
      <c r="C422" s="265" t="s">
        <v>8108</v>
      </c>
      <c r="D422" s="77" t="s">
        <v>8111</v>
      </c>
      <c r="E422" s="77" t="s">
        <v>3045</v>
      </c>
      <c r="F422" s="77" t="s">
        <v>8112</v>
      </c>
      <c r="G422" s="266" t="s">
        <v>8113</v>
      </c>
      <c r="H422" s="77" t="s">
        <v>8122</v>
      </c>
      <c r="I422" s="144" t="s">
        <v>32</v>
      </c>
      <c r="J422" s="267">
        <v>43964</v>
      </c>
      <c r="K422" s="61"/>
      <c r="L422" s="61"/>
      <c r="M422" s="61"/>
      <c r="N422" s="61"/>
      <c r="O422" s="61"/>
      <c r="P422" s="61"/>
      <c r="Q422" s="61"/>
      <c r="R422" s="61"/>
      <c r="S422" s="61"/>
      <c r="T422" s="61"/>
      <c r="U422" s="61"/>
      <c r="V422" s="61"/>
      <c r="W422" s="61"/>
      <c r="X422" s="61"/>
      <c r="Y422" s="61"/>
      <c r="Z422" s="61"/>
    </row>
    <row r="423" spans="1:26" ht="15">
      <c r="A423" s="268" t="s">
        <v>8128</v>
      </c>
      <c r="B423" s="269" t="s">
        <v>8129</v>
      </c>
      <c r="C423" s="269" t="s">
        <v>8133</v>
      </c>
      <c r="D423" s="270" t="s">
        <v>8135</v>
      </c>
      <c r="E423" s="271" t="s">
        <v>966</v>
      </c>
      <c r="F423" s="271" t="s">
        <v>8136</v>
      </c>
      <c r="G423" s="272" t="s">
        <v>8137</v>
      </c>
      <c r="H423" s="239" t="s">
        <v>8154</v>
      </c>
      <c r="I423" s="270" t="s">
        <v>8160</v>
      </c>
      <c r="J423" s="273">
        <v>43965</v>
      </c>
      <c r="K423" s="61"/>
      <c r="L423" s="61"/>
      <c r="M423" s="61"/>
      <c r="N423" s="61"/>
      <c r="O423" s="61"/>
      <c r="P423" s="61"/>
      <c r="Q423" s="61"/>
      <c r="R423" s="61"/>
      <c r="S423" s="61"/>
      <c r="T423" s="61"/>
      <c r="U423" s="61"/>
      <c r="V423" s="61"/>
      <c r="W423" s="61"/>
      <c r="X423" s="61"/>
      <c r="Y423" s="61"/>
      <c r="Z423" s="61"/>
    </row>
    <row r="424" spans="1:26" ht="15">
      <c r="A424" s="268" t="s">
        <v>8165</v>
      </c>
      <c r="B424" s="269" t="s">
        <v>8166</v>
      </c>
      <c r="C424" s="274" t="s">
        <v>8167</v>
      </c>
      <c r="D424" s="270" t="s">
        <v>8135</v>
      </c>
      <c r="E424" s="271" t="s">
        <v>966</v>
      </c>
      <c r="F424" s="271" t="s">
        <v>8168</v>
      </c>
      <c r="G424" s="272" t="s">
        <v>8137</v>
      </c>
      <c r="H424" s="239" t="s">
        <v>8154</v>
      </c>
      <c r="I424" s="270" t="s">
        <v>5588</v>
      </c>
      <c r="J424" s="273">
        <v>43965</v>
      </c>
      <c r="K424" s="61"/>
      <c r="L424" s="61"/>
      <c r="M424" s="61"/>
      <c r="N424" s="61"/>
      <c r="O424" s="61"/>
      <c r="P424" s="61"/>
      <c r="Q424" s="61"/>
      <c r="R424" s="61"/>
      <c r="S424" s="61"/>
      <c r="T424" s="61"/>
      <c r="U424" s="61"/>
      <c r="V424" s="61"/>
      <c r="W424" s="61"/>
      <c r="X424" s="61"/>
      <c r="Y424" s="61"/>
      <c r="Z424" s="61"/>
    </row>
    <row r="425" spans="1:26" ht="15">
      <c r="A425" s="268" t="s">
        <v>1524</v>
      </c>
      <c r="B425" s="269" t="s">
        <v>8191</v>
      </c>
      <c r="C425" s="269" t="s">
        <v>8192</v>
      </c>
      <c r="D425" s="270" t="s">
        <v>8135</v>
      </c>
      <c r="E425" s="271" t="s">
        <v>966</v>
      </c>
      <c r="F425" s="271" t="s">
        <v>8168</v>
      </c>
      <c r="G425" s="272" t="s">
        <v>8137</v>
      </c>
      <c r="H425" s="239" t="s">
        <v>8154</v>
      </c>
      <c r="I425" s="270" t="s">
        <v>63</v>
      </c>
      <c r="J425" s="273">
        <v>43965</v>
      </c>
      <c r="K425" s="61"/>
      <c r="L425" s="61"/>
      <c r="M425" s="61"/>
      <c r="N425" s="61"/>
      <c r="O425" s="61"/>
      <c r="P425" s="61"/>
      <c r="Q425" s="61"/>
      <c r="R425" s="61"/>
      <c r="S425" s="61"/>
      <c r="T425" s="61"/>
      <c r="U425" s="61"/>
      <c r="V425" s="61"/>
      <c r="W425" s="61"/>
      <c r="X425" s="61"/>
      <c r="Y425" s="61"/>
      <c r="Z425" s="61"/>
    </row>
    <row r="426" spans="1:26" ht="15">
      <c r="A426" s="268" t="s">
        <v>5294</v>
      </c>
      <c r="B426" s="269" t="s">
        <v>8215</v>
      </c>
      <c r="C426" s="269" t="s">
        <v>8216</v>
      </c>
      <c r="D426" s="270" t="s">
        <v>8135</v>
      </c>
      <c r="E426" s="271" t="s">
        <v>966</v>
      </c>
      <c r="F426" s="271" t="s">
        <v>8217</v>
      </c>
      <c r="G426" s="272" t="s">
        <v>8137</v>
      </c>
      <c r="H426" s="239" t="s">
        <v>8154</v>
      </c>
      <c r="I426" s="270" t="s">
        <v>409</v>
      </c>
      <c r="J426" s="273">
        <v>43965</v>
      </c>
      <c r="K426" s="61"/>
      <c r="L426" s="61"/>
      <c r="M426" s="61"/>
      <c r="N426" s="61"/>
      <c r="O426" s="61"/>
      <c r="P426" s="61"/>
      <c r="Q426" s="61"/>
      <c r="R426" s="61"/>
      <c r="S426" s="61"/>
      <c r="T426" s="61"/>
      <c r="U426" s="61"/>
      <c r="V426" s="61"/>
      <c r="W426" s="61"/>
      <c r="X426" s="61"/>
      <c r="Y426" s="61"/>
      <c r="Z426" s="61"/>
    </row>
    <row r="427" spans="1:26" ht="98">
      <c r="A427" s="60" t="s">
        <v>8231</v>
      </c>
      <c r="B427" s="60" t="s">
        <v>8232</v>
      </c>
      <c r="C427" s="60" t="s">
        <v>8233</v>
      </c>
      <c r="D427" s="60" t="s">
        <v>8235</v>
      </c>
      <c r="E427" s="60" t="s">
        <v>8237</v>
      </c>
      <c r="F427" s="60" t="s">
        <v>33</v>
      </c>
      <c r="G427" s="275" t="s">
        <v>8238</v>
      </c>
      <c r="H427" s="60" t="s">
        <v>8243</v>
      </c>
      <c r="I427" s="60" t="s">
        <v>357</v>
      </c>
      <c r="J427" s="61"/>
      <c r="K427" s="61"/>
      <c r="L427" s="61"/>
      <c r="M427" s="61"/>
      <c r="N427" s="61"/>
      <c r="O427" s="61"/>
      <c r="P427" s="61"/>
      <c r="Q427" s="61"/>
      <c r="R427" s="61"/>
      <c r="S427" s="61"/>
      <c r="T427" s="61"/>
      <c r="U427" s="61"/>
      <c r="V427" s="61"/>
      <c r="W427" s="61"/>
      <c r="X427" s="61"/>
      <c r="Y427" s="61"/>
      <c r="Z427" s="61"/>
    </row>
    <row r="428" spans="1:26" ht="15">
      <c r="A428" s="222" t="s">
        <v>8251</v>
      </c>
      <c r="B428" s="226" t="s">
        <v>8252</v>
      </c>
      <c r="C428" s="226" t="s">
        <v>8253</v>
      </c>
      <c r="D428" s="222" t="s">
        <v>8254</v>
      </c>
      <c r="E428" s="222" t="s">
        <v>8255</v>
      </c>
      <c r="F428" s="222" t="s">
        <v>8256</v>
      </c>
      <c r="G428" s="276" t="s">
        <v>8258</v>
      </c>
      <c r="H428" s="222" t="s">
        <v>2919</v>
      </c>
      <c r="I428" s="277" t="s">
        <v>32</v>
      </c>
      <c r="J428" s="278">
        <v>43966</v>
      </c>
      <c r="K428" s="61"/>
      <c r="L428" s="61"/>
      <c r="M428" s="61"/>
      <c r="N428" s="61"/>
      <c r="O428" s="61"/>
      <c r="P428" s="61"/>
      <c r="Q428" s="61"/>
      <c r="R428" s="61"/>
      <c r="S428" s="61"/>
      <c r="T428" s="61"/>
      <c r="U428" s="61"/>
      <c r="V428" s="61"/>
      <c r="W428" s="61"/>
      <c r="X428" s="61"/>
      <c r="Y428" s="61"/>
      <c r="Z428" s="61"/>
    </row>
    <row r="429" spans="1:26" ht="15">
      <c r="A429" s="277" t="s">
        <v>560</v>
      </c>
      <c r="B429" s="279" t="s">
        <v>8283</v>
      </c>
      <c r="C429" s="279" t="s">
        <v>8284</v>
      </c>
      <c r="D429" s="277" t="s">
        <v>8254</v>
      </c>
      <c r="E429" s="277" t="s">
        <v>8255</v>
      </c>
      <c r="F429" s="277" t="s">
        <v>8256</v>
      </c>
      <c r="G429" s="276" t="s">
        <v>8286</v>
      </c>
      <c r="H429" s="277" t="s">
        <v>2919</v>
      </c>
      <c r="I429" s="277" t="s">
        <v>32</v>
      </c>
      <c r="J429" s="278">
        <v>43966</v>
      </c>
      <c r="K429" s="61"/>
      <c r="L429" s="61"/>
      <c r="M429" s="61"/>
      <c r="N429" s="61"/>
      <c r="O429" s="61"/>
      <c r="P429" s="61"/>
      <c r="Q429" s="61"/>
      <c r="R429" s="61"/>
      <c r="S429" s="61"/>
      <c r="T429" s="61"/>
      <c r="U429" s="61"/>
      <c r="V429" s="61"/>
      <c r="W429" s="61"/>
      <c r="X429" s="61"/>
      <c r="Y429" s="61"/>
      <c r="Z429" s="61"/>
    </row>
    <row r="430" spans="1:26" ht="126">
      <c r="A430" s="280" t="s">
        <v>8297</v>
      </c>
      <c r="B430" s="280" t="s">
        <v>8298</v>
      </c>
      <c r="C430" s="280" t="s">
        <v>8299</v>
      </c>
      <c r="D430" s="60" t="s">
        <v>8301</v>
      </c>
      <c r="E430" s="60" t="s">
        <v>8302</v>
      </c>
      <c r="F430" s="60" t="s">
        <v>46</v>
      </c>
      <c r="G430" s="255" t="s">
        <v>8305</v>
      </c>
      <c r="H430" s="60" t="s">
        <v>2919</v>
      </c>
      <c r="I430" s="60" t="s">
        <v>63</v>
      </c>
      <c r="J430" s="60" t="s">
        <v>8310</v>
      </c>
      <c r="K430" s="61"/>
      <c r="L430" s="61"/>
      <c r="M430" s="61"/>
      <c r="N430" s="61"/>
      <c r="O430" s="61"/>
      <c r="P430" s="61"/>
      <c r="Q430" s="61"/>
      <c r="R430" s="61"/>
      <c r="S430" s="61"/>
      <c r="T430" s="61"/>
      <c r="U430" s="61"/>
      <c r="V430" s="61"/>
      <c r="W430" s="61"/>
      <c r="X430" s="61"/>
      <c r="Y430" s="61"/>
      <c r="Z430" s="61"/>
    </row>
    <row r="431" spans="1:26" ht="169">
      <c r="A431" s="246" t="s">
        <v>8314</v>
      </c>
      <c r="B431" s="246" t="s">
        <v>8315</v>
      </c>
      <c r="C431" s="245" t="s">
        <v>8316</v>
      </c>
      <c r="D431" s="245" t="s">
        <v>7489</v>
      </c>
      <c r="E431" s="245" t="s">
        <v>7496</v>
      </c>
      <c r="F431" s="245" t="s">
        <v>46</v>
      </c>
      <c r="G431" s="227"/>
      <c r="H431" s="245" t="s">
        <v>7504</v>
      </c>
      <c r="I431" s="245" t="s">
        <v>63</v>
      </c>
      <c r="J431" s="118"/>
      <c r="K431" s="61"/>
      <c r="L431" s="61"/>
      <c r="M431" s="61"/>
      <c r="N431" s="61"/>
      <c r="O431" s="61"/>
      <c r="P431" s="61"/>
      <c r="Q431" s="61"/>
      <c r="R431" s="61"/>
      <c r="S431" s="61"/>
      <c r="T431" s="61"/>
      <c r="U431" s="61"/>
      <c r="V431" s="61"/>
      <c r="W431" s="61"/>
      <c r="X431" s="61"/>
      <c r="Y431" s="61"/>
      <c r="Z431" s="61"/>
    </row>
    <row r="432" spans="1:26" ht="98">
      <c r="A432" s="280" t="s">
        <v>875</v>
      </c>
      <c r="B432" s="281" t="s">
        <v>8325</v>
      </c>
      <c r="C432" s="280" t="s">
        <v>8328</v>
      </c>
      <c r="D432" s="60" t="s">
        <v>8301</v>
      </c>
      <c r="E432" s="60" t="s">
        <v>8302</v>
      </c>
      <c r="F432" s="60" t="s">
        <v>387</v>
      </c>
      <c r="G432" s="219" t="s">
        <v>8334</v>
      </c>
      <c r="H432" s="60" t="s">
        <v>8340</v>
      </c>
      <c r="I432" s="60" t="s">
        <v>63</v>
      </c>
      <c r="J432" s="60" t="s">
        <v>8343</v>
      </c>
      <c r="K432" s="61"/>
      <c r="L432" s="61"/>
      <c r="M432" s="61"/>
      <c r="N432" s="61"/>
      <c r="O432" s="61"/>
      <c r="P432" s="61"/>
      <c r="Q432" s="61"/>
      <c r="R432" s="61"/>
      <c r="S432" s="61"/>
      <c r="T432" s="61"/>
      <c r="U432" s="61"/>
      <c r="V432" s="61"/>
      <c r="W432" s="61"/>
      <c r="X432" s="61"/>
      <c r="Y432" s="61"/>
      <c r="Z432" s="61"/>
    </row>
    <row r="433" spans="1:26" ht="126">
      <c r="A433" s="280" t="s">
        <v>8346</v>
      </c>
      <c r="B433" s="280" t="s">
        <v>8347</v>
      </c>
      <c r="C433" s="280" t="s">
        <v>8348</v>
      </c>
      <c r="D433" s="60" t="s">
        <v>8301</v>
      </c>
      <c r="E433" s="60" t="s">
        <v>8302</v>
      </c>
      <c r="F433" s="60" t="s">
        <v>506</v>
      </c>
      <c r="G433" s="219" t="s">
        <v>8351</v>
      </c>
      <c r="H433" s="60" t="s">
        <v>8340</v>
      </c>
      <c r="I433" s="60" t="s">
        <v>161</v>
      </c>
      <c r="J433" s="60" t="s">
        <v>8343</v>
      </c>
      <c r="K433" s="61"/>
      <c r="L433" s="61"/>
      <c r="M433" s="61"/>
      <c r="N433" s="61"/>
      <c r="O433" s="61"/>
      <c r="P433" s="61"/>
      <c r="Q433" s="61"/>
      <c r="R433" s="61"/>
      <c r="S433" s="61"/>
      <c r="T433" s="61"/>
      <c r="U433" s="61"/>
      <c r="V433" s="61"/>
      <c r="W433" s="61"/>
      <c r="X433" s="61"/>
      <c r="Y433" s="61"/>
      <c r="Z433" s="61"/>
    </row>
    <row r="434" spans="1:26" ht="42">
      <c r="A434" s="282" t="s">
        <v>8369</v>
      </c>
      <c r="B434" s="282" t="s">
        <v>8376</v>
      </c>
      <c r="C434" s="282" t="s">
        <v>8380</v>
      </c>
      <c r="D434" s="282" t="s">
        <v>8381</v>
      </c>
      <c r="E434" s="282" t="s">
        <v>8382</v>
      </c>
      <c r="F434" s="282" t="s">
        <v>33</v>
      </c>
      <c r="G434" s="283" t="s">
        <v>8384</v>
      </c>
      <c r="H434" s="284" t="s">
        <v>8400</v>
      </c>
      <c r="I434" s="282" t="s">
        <v>32</v>
      </c>
      <c r="J434" s="61"/>
      <c r="K434" s="61"/>
      <c r="L434" s="61"/>
      <c r="M434" s="61"/>
      <c r="N434" s="61"/>
      <c r="O434" s="61"/>
      <c r="P434" s="61"/>
      <c r="Q434" s="61"/>
      <c r="R434" s="61"/>
      <c r="S434" s="61"/>
      <c r="T434" s="61"/>
      <c r="U434" s="61"/>
      <c r="V434" s="61"/>
      <c r="W434" s="61"/>
      <c r="X434" s="61"/>
      <c r="Y434" s="61"/>
      <c r="Z434" s="61"/>
    </row>
    <row r="435" spans="1:26" ht="42">
      <c r="A435" s="282" t="s">
        <v>8414</v>
      </c>
      <c r="B435" s="282" t="s">
        <v>8415</v>
      </c>
      <c r="C435" s="282" t="s">
        <v>8416</v>
      </c>
      <c r="D435" s="282" t="s">
        <v>8381</v>
      </c>
      <c r="E435" s="282" t="s">
        <v>8382</v>
      </c>
      <c r="F435" s="282" t="s">
        <v>33</v>
      </c>
      <c r="G435" s="283" t="s">
        <v>8421</v>
      </c>
      <c r="H435" s="284" t="s">
        <v>8400</v>
      </c>
      <c r="I435" s="282" t="s">
        <v>32</v>
      </c>
      <c r="J435" s="61"/>
      <c r="K435" s="61"/>
      <c r="L435" s="61"/>
      <c r="M435" s="61"/>
      <c r="N435" s="61"/>
      <c r="O435" s="61"/>
      <c r="P435" s="61"/>
      <c r="Q435" s="61"/>
      <c r="R435" s="61"/>
      <c r="S435" s="61"/>
      <c r="T435" s="61"/>
      <c r="U435" s="61"/>
      <c r="V435" s="61"/>
      <c r="W435" s="61"/>
      <c r="X435" s="61"/>
      <c r="Y435" s="61"/>
      <c r="Z435" s="61"/>
    </row>
    <row r="436" spans="1:26" ht="13">
      <c r="A436" s="258" t="s">
        <v>8437</v>
      </c>
      <c r="B436" s="258" t="s">
        <v>8438</v>
      </c>
      <c r="C436" s="258" t="s">
        <v>8439</v>
      </c>
      <c r="D436" s="258" t="s">
        <v>8440</v>
      </c>
      <c r="E436" s="258" t="s">
        <v>8441</v>
      </c>
      <c r="F436" s="258" t="s">
        <v>8442</v>
      </c>
      <c r="G436" s="259" t="s">
        <v>8443</v>
      </c>
      <c r="H436" s="260" t="s">
        <v>8447</v>
      </c>
      <c r="I436" s="258" t="s">
        <v>32</v>
      </c>
      <c r="J436" s="285" t="s">
        <v>8450</v>
      </c>
      <c r="K436" s="61"/>
      <c r="L436" s="61"/>
      <c r="M436" s="61"/>
      <c r="N436" s="61"/>
      <c r="O436" s="61"/>
      <c r="P436" s="61"/>
      <c r="Q436" s="61"/>
      <c r="R436" s="61"/>
      <c r="S436" s="61"/>
      <c r="T436" s="61"/>
      <c r="U436" s="61"/>
      <c r="V436" s="61"/>
      <c r="W436" s="61"/>
      <c r="X436" s="61"/>
      <c r="Y436" s="61"/>
      <c r="Z436" s="61"/>
    </row>
    <row r="437" spans="1:26" ht="13">
      <c r="A437" s="258" t="s">
        <v>8452</v>
      </c>
      <c r="B437" s="258" t="s">
        <v>8453</v>
      </c>
      <c r="C437" s="258" t="s">
        <v>8454</v>
      </c>
      <c r="D437" s="258" t="s">
        <v>8440</v>
      </c>
      <c r="E437" s="258" t="s">
        <v>8441</v>
      </c>
      <c r="F437" s="258" t="s">
        <v>8442</v>
      </c>
      <c r="G437" s="259" t="s">
        <v>8443</v>
      </c>
      <c r="H437" s="260" t="s">
        <v>8447</v>
      </c>
      <c r="I437" s="258" t="s">
        <v>5574</v>
      </c>
      <c r="J437" s="285" t="s">
        <v>8450</v>
      </c>
      <c r="K437" s="61"/>
      <c r="L437" s="61"/>
      <c r="M437" s="61"/>
      <c r="N437" s="61"/>
      <c r="O437" s="61"/>
      <c r="P437" s="61"/>
      <c r="Q437" s="61"/>
      <c r="R437" s="61"/>
      <c r="S437" s="61"/>
      <c r="T437" s="61"/>
      <c r="U437" s="61"/>
      <c r="V437" s="61"/>
      <c r="W437" s="61"/>
      <c r="X437" s="61"/>
      <c r="Y437" s="61"/>
      <c r="Z437" s="61"/>
    </row>
    <row r="438" spans="1:26" ht="13">
      <c r="A438" s="258" t="s">
        <v>8464</v>
      </c>
      <c r="B438" s="258" t="s">
        <v>8467</v>
      </c>
      <c r="C438" s="258" t="s">
        <v>8469</v>
      </c>
      <c r="D438" s="258" t="s">
        <v>8440</v>
      </c>
      <c r="E438" s="258" t="s">
        <v>8441</v>
      </c>
      <c r="F438" s="258" t="s">
        <v>46</v>
      </c>
      <c r="G438" s="259" t="s">
        <v>8443</v>
      </c>
      <c r="H438" s="260" t="s">
        <v>8447</v>
      </c>
      <c r="I438" s="258" t="s">
        <v>266</v>
      </c>
      <c r="J438" s="285" t="s">
        <v>8450</v>
      </c>
      <c r="K438" s="61"/>
      <c r="L438" s="61"/>
      <c r="M438" s="61"/>
      <c r="N438" s="61"/>
      <c r="O438" s="61"/>
      <c r="P438" s="61"/>
      <c r="Q438" s="61"/>
      <c r="R438" s="61"/>
      <c r="S438" s="61"/>
      <c r="T438" s="61"/>
      <c r="U438" s="61"/>
      <c r="V438" s="61"/>
      <c r="W438" s="61"/>
      <c r="X438" s="61"/>
      <c r="Y438" s="61"/>
      <c r="Z438" s="61"/>
    </row>
    <row r="439" spans="1:26" ht="13">
      <c r="A439" s="258" t="s">
        <v>8478</v>
      </c>
      <c r="B439" s="258" t="s">
        <v>8479</v>
      </c>
      <c r="C439" s="258" t="s">
        <v>8480</v>
      </c>
      <c r="D439" s="258" t="s">
        <v>8440</v>
      </c>
      <c r="E439" s="258" t="s">
        <v>8441</v>
      </c>
      <c r="F439" s="258" t="s">
        <v>46</v>
      </c>
      <c r="G439" s="259" t="s">
        <v>8443</v>
      </c>
      <c r="H439" s="260" t="s">
        <v>8447</v>
      </c>
      <c r="I439" s="258" t="s">
        <v>8488</v>
      </c>
      <c r="J439" s="285" t="s">
        <v>8450</v>
      </c>
      <c r="K439" s="61"/>
      <c r="L439" s="61"/>
      <c r="M439" s="61"/>
      <c r="N439" s="61"/>
      <c r="O439" s="61"/>
      <c r="P439" s="61"/>
      <c r="Q439" s="61"/>
      <c r="R439" s="61"/>
      <c r="S439" s="61"/>
      <c r="T439" s="61"/>
      <c r="U439" s="61"/>
      <c r="V439" s="61"/>
      <c r="W439" s="61"/>
      <c r="X439" s="61"/>
      <c r="Y439" s="61"/>
      <c r="Z439" s="61"/>
    </row>
    <row r="440" spans="1:26" ht="13">
      <c r="A440" s="258" t="s">
        <v>8493</v>
      </c>
      <c r="B440" s="258" t="s">
        <v>8494</v>
      </c>
      <c r="C440" s="258" t="s">
        <v>8497</v>
      </c>
      <c r="D440" s="258" t="s">
        <v>8440</v>
      </c>
      <c r="E440" s="258" t="s">
        <v>8441</v>
      </c>
      <c r="F440" s="258" t="s">
        <v>46</v>
      </c>
      <c r="G440" s="259" t="s">
        <v>8443</v>
      </c>
      <c r="H440" s="260" t="s">
        <v>8447</v>
      </c>
      <c r="I440" s="258" t="s">
        <v>161</v>
      </c>
      <c r="J440" s="285" t="s">
        <v>8450</v>
      </c>
      <c r="K440" s="61"/>
      <c r="L440" s="61"/>
      <c r="M440" s="61"/>
      <c r="N440" s="61"/>
      <c r="O440" s="61"/>
      <c r="P440" s="61"/>
      <c r="Q440" s="61"/>
      <c r="R440" s="61"/>
      <c r="S440" s="61"/>
      <c r="T440" s="61"/>
      <c r="U440" s="61"/>
      <c r="V440" s="61"/>
      <c r="W440" s="61"/>
      <c r="X440" s="61"/>
      <c r="Y440" s="61"/>
      <c r="Z440" s="61"/>
    </row>
    <row r="441" spans="1:26" ht="13">
      <c r="A441" s="258" t="s">
        <v>8513</v>
      </c>
      <c r="B441" s="258" t="s">
        <v>8514</v>
      </c>
      <c r="C441" s="258" t="s">
        <v>8516</v>
      </c>
      <c r="D441" s="258" t="s">
        <v>8440</v>
      </c>
      <c r="E441" s="258" t="s">
        <v>8441</v>
      </c>
      <c r="F441" s="258" t="s">
        <v>46</v>
      </c>
      <c r="G441" s="259" t="s">
        <v>8443</v>
      </c>
      <c r="H441" s="260" t="s">
        <v>8447</v>
      </c>
      <c r="I441" s="258" t="s">
        <v>161</v>
      </c>
      <c r="J441" s="285" t="s">
        <v>8450</v>
      </c>
      <c r="K441" s="61"/>
      <c r="L441" s="61"/>
      <c r="M441" s="61"/>
      <c r="N441" s="61"/>
      <c r="O441" s="61"/>
      <c r="P441" s="61"/>
      <c r="Q441" s="61"/>
      <c r="R441" s="61"/>
      <c r="S441" s="61"/>
      <c r="T441" s="61"/>
      <c r="U441" s="61"/>
      <c r="V441" s="61"/>
      <c r="W441" s="61"/>
      <c r="X441" s="61"/>
      <c r="Y441" s="61"/>
      <c r="Z441" s="61"/>
    </row>
    <row r="442" spans="1:26" ht="319">
      <c r="A442" s="60" t="s">
        <v>8538</v>
      </c>
      <c r="B442" s="60" t="s">
        <v>8540</v>
      </c>
      <c r="C442" s="60" t="s">
        <v>8542</v>
      </c>
      <c r="D442" s="60" t="s">
        <v>8543</v>
      </c>
      <c r="E442" s="60" t="s">
        <v>3045</v>
      </c>
      <c r="F442" s="60" t="s">
        <v>46</v>
      </c>
      <c r="G442" s="38" t="s">
        <v>8547</v>
      </c>
      <c r="H442" s="60" t="s">
        <v>2919</v>
      </c>
      <c r="I442" s="60" t="s">
        <v>32</v>
      </c>
      <c r="J442" s="286">
        <f ca="1">NOW()</f>
        <v>43991.406104745372</v>
      </c>
      <c r="K442" s="61"/>
      <c r="L442" s="61"/>
      <c r="M442" s="61"/>
      <c r="N442" s="61"/>
      <c r="O442" s="61"/>
      <c r="P442" s="61"/>
      <c r="Q442" s="61"/>
      <c r="R442" s="61"/>
      <c r="S442" s="61"/>
      <c r="T442" s="61"/>
      <c r="U442" s="61"/>
      <c r="V442" s="61"/>
      <c r="W442" s="61"/>
      <c r="X442" s="61"/>
      <c r="Y442" s="61"/>
      <c r="Z442" s="61"/>
    </row>
    <row r="443" spans="1:26" ht="14">
      <c r="A443" s="258" t="s">
        <v>8572</v>
      </c>
      <c r="B443" s="258" t="s">
        <v>8576</v>
      </c>
      <c r="C443" s="258" t="s">
        <v>8580</v>
      </c>
      <c r="D443" s="258" t="s">
        <v>8582</v>
      </c>
      <c r="E443" s="258" t="s">
        <v>8583</v>
      </c>
      <c r="F443" s="258" t="s">
        <v>46</v>
      </c>
      <c r="G443" s="259" t="s">
        <v>8584</v>
      </c>
      <c r="H443" s="260" t="s">
        <v>8590</v>
      </c>
      <c r="I443" s="60" t="s">
        <v>32</v>
      </c>
      <c r="J443" s="61"/>
      <c r="K443" s="61"/>
      <c r="L443" s="61"/>
      <c r="M443" s="61"/>
      <c r="N443" s="61"/>
      <c r="O443" s="61"/>
      <c r="P443" s="61"/>
      <c r="Q443" s="61"/>
      <c r="R443" s="61"/>
      <c r="S443" s="61"/>
      <c r="T443" s="61"/>
      <c r="U443" s="61"/>
      <c r="V443" s="61"/>
      <c r="W443" s="61"/>
      <c r="X443" s="61"/>
      <c r="Y443" s="61"/>
      <c r="Z443" s="61"/>
    </row>
    <row r="444" spans="1:26" ht="14">
      <c r="A444" s="258" t="s">
        <v>8595</v>
      </c>
      <c r="B444" s="258" t="s">
        <v>8596</v>
      </c>
      <c r="C444" s="258" t="s">
        <v>8597</v>
      </c>
      <c r="D444" s="258" t="s">
        <v>8582</v>
      </c>
      <c r="E444" s="258" t="s">
        <v>8583</v>
      </c>
      <c r="F444" s="258" t="s">
        <v>46</v>
      </c>
      <c r="G444" s="259" t="s">
        <v>8584</v>
      </c>
      <c r="H444" s="260" t="s">
        <v>8590</v>
      </c>
      <c r="I444" s="60" t="s">
        <v>32</v>
      </c>
      <c r="J444" s="61"/>
      <c r="K444" s="61"/>
      <c r="L444" s="61"/>
      <c r="M444" s="61"/>
      <c r="N444" s="61"/>
      <c r="O444" s="61"/>
      <c r="P444" s="61"/>
      <c r="Q444" s="61"/>
      <c r="R444" s="61"/>
      <c r="S444" s="61"/>
      <c r="T444" s="61"/>
      <c r="U444" s="61"/>
      <c r="V444" s="61"/>
      <c r="W444" s="61"/>
      <c r="X444" s="61"/>
      <c r="Y444" s="61"/>
      <c r="Z444" s="61"/>
    </row>
    <row r="445" spans="1:26" ht="14">
      <c r="A445" s="258" t="s">
        <v>8606</v>
      </c>
      <c r="B445" s="258" t="s">
        <v>8608</v>
      </c>
      <c r="C445" s="258" t="s">
        <v>8612</v>
      </c>
      <c r="D445" s="258" t="s">
        <v>8582</v>
      </c>
      <c r="E445" s="258" t="s">
        <v>8583</v>
      </c>
      <c r="F445" s="258" t="s">
        <v>46</v>
      </c>
      <c r="G445" s="259" t="s">
        <v>8584</v>
      </c>
      <c r="H445" s="260" t="s">
        <v>8590</v>
      </c>
      <c r="I445" s="60" t="s">
        <v>32</v>
      </c>
      <c r="J445" s="61"/>
      <c r="K445" s="61"/>
      <c r="L445" s="61"/>
      <c r="M445" s="61"/>
      <c r="N445" s="61"/>
      <c r="O445" s="61"/>
      <c r="P445" s="61"/>
      <c r="Q445" s="61"/>
      <c r="R445" s="61"/>
      <c r="S445" s="61"/>
      <c r="T445" s="61"/>
      <c r="U445" s="61"/>
      <c r="V445" s="61"/>
      <c r="W445" s="61"/>
      <c r="X445" s="61"/>
      <c r="Y445" s="61"/>
      <c r="Z445" s="61"/>
    </row>
    <row r="446" spans="1:26" ht="14">
      <c r="A446" s="258" t="s">
        <v>8619</v>
      </c>
      <c r="B446" s="258" t="s">
        <v>8620</v>
      </c>
      <c r="C446" s="258" t="s">
        <v>8621</v>
      </c>
      <c r="D446" s="258" t="s">
        <v>8582</v>
      </c>
      <c r="E446" s="258" t="s">
        <v>8583</v>
      </c>
      <c r="F446" s="258" t="s">
        <v>46</v>
      </c>
      <c r="G446" s="259" t="s">
        <v>8584</v>
      </c>
      <c r="H446" s="260" t="s">
        <v>8590</v>
      </c>
      <c r="I446" s="60" t="s">
        <v>32</v>
      </c>
      <c r="J446" s="61"/>
      <c r="K446" s="61"/>
      <c r="L446" s="61"/>
      <c r="M446" s="61"/>
      <c r="N446" s="61"/>
      <c r="O446" s="61"/>
      <c r="P446" s="61"/>
      <c r="Q446" s="61"/>
      <c r="R446" s="61"/>
      <c r="S446" s="61"/>
      <c r="T446" s="61"/>
      <c r="U446" s="61"/>
      <c r="V446" s="61"/>
      <c r="W446" s="61"/>
      <c r="X446" s="61"/>
      <c r="Y446" s="61"/>
      <c r="Z446" s="61"/>
    </row>
    <row r="447" spans="1:26" ht="14">
      <c r="A447" s="258" t="s">
        <v>8595</v>
      </c>
      <c r="B447" s="258" t="s">
        <v>8596</v>
      </c>
      <c r="C447" s="258" t="s">
        <v>8597</v>
      </c>
      <c r="D447" s="258" t="s">
        <v>8630</v>
      </c>
      <c r="E447" s="258" t="s">
        <v>8583</v>
      </c>
      <c r="F447" s="258" t="s">
        <v>506</v>
      </c>
      <c r="G447" s="259" t="s">
        <v>8584</v>
      </c>
      <c r="H447" s="260" t="s">
        <v>8590</v>
      </c>
      <c r="I447" s="60" t="s">
        <v>32</v>
      </c>
      <c r="J447" s="61"/>
      <c r="K447" s="61"/>
      <c r="L447" s="61"/>
      <c r="M447" s="61"/>
      <c r="N447" s="61"/>
      <c r="O447" s="61"/>
      <c r="P447" s="61"/>
      <c r="Q447" s="61"/>
      <c r="R447" s="61"/>
      <c r="S447" s="61"/>
      <c r="T447" s="61"/>
      <c r="U447" s="61"/>
      <c r="V447" s="61"/>
      <c r="W447" s="61"/>
      <c r="X447" s="61"/>
      <c r="Y447" s="61"/>
      <c r="Z447" s="61"/>
    </row>
    <row r="448" spans="1:26" ht="14">
      <c r="A448" s="258" t="s">
        <v>8595</v>
      </c>
      <c r="B448" s="258" t="s">
        <v>8596</v>
      </c>
      <c r="C448" s="258" t="s">
        <v>8597</v>
      </c>
      <c r="D448" s="258" t="s">
        <v>8582</v>
      </c>
      <c r="E448" s="258" t="s">
        <v>8583</v>
      </c>
      <c r="F448" s="258" t="s">
        <v>387</v>
      </c>
      <c r="G448" s="259" t="s">
        <v>8584</v>
      </c>
      <c r="H448" s="260" t="s">
        <v>8590</v>
      </c>
      <c r="I448" s="60" t="s">
        <v>32</v>
      </c>
      <c r="J448" s="61"/>
      <c r="K448" s="61"/>
      <c r="L448" s="61"/>
      <c r="M448" s="61"/>
      <c r="N448" s="61"/>
      <c r="O448" s="61"/>
      <c r="P448" s="61"/>
      <c r="Q448" s="61"/>
      <c r="R448" s="61"/>
      <c r="S448" s="61"/>
      <c r="T448" s="61"/>
      <c r="U448" s="61"/>
      <c r="V448" s="61"/>
      <c r="W448" s="61"/>
      <c r="X448" s="61"/>
      <c r="Y448" s="61"/>
      <c r="Z448" s="61"/>
    </row>
    <row r="449" spans="1:26" ht="42">
      <c r="A449" s="282" t="s">
        <v>8663</v>
      </c>
      <c r="B449" s="282" t="s">
        <v>8666</v>
      </c>
      <c r="C449" s="282" t="s">
        <v>8669</v>
      </c>
      <c r="D449" s="283" t="s">
        <v>8671</v>
      </c>
      <c r="E449" s="282" t="s">
        <v>8674</v>
      </c>
      <c r="F449" s="282" t="s">
        <v>33</v>
      </c>
      <c r="G449" s="287"/>
      <c r="H449" s="282" t="s">
        <v>8680</v>
      </c>
      <c r="I449" s="282" t="s">
        <v>32</v>
      </c>
      <c r="J449" s="61"/>
      <c r="K449" s="61"/>
      <c r="L449" s="61"/>
      <c r="M449" s="61"/>
      <c r="N449" s="61"/>
      <c r="O449" s="61"/>
      <c r="P449" s="61"/>
      <c r="Q449" s="61"/>
      <c r="R449" s="61"/>
      <c r="S449" s="61"/>
      <c r="T449" s="61"/>
      <c r="U449" s="61"/>
      <c r="V449" s="61"/>
      <c r="W449" s="61"/>
      <c r="X449" s="61"/>
      <c r="Y449" s="61"/>
      <c r="Z449" s="61"/>
    </row>
    <row r="450" spans="1:26" ht="13">
      <c r="A450" s="262" t="s">
        <v>8687</v>
      </c>
      <c r="B450" s="258" t="s">
        <v>8688</v>
      </c>
      <c r="C450" s="257" t="s">
        <v>8689</v>
      </c>
      <c r="D450" s="258" t="s">
        <v>8690</v>
      </c>
      <c r="E450" s="258" t="s">
        <v>8692</v>
      </c>
      <c r="F450" s="258" t="s">
        <v>506</v>
      </c>
      <c r="G450" s="261" t="s">
        <v>8695</v>
      </c>
      <c r="H450" s="258" t="s">
        <v>8700</v>
      </c>
      <c r="I450" s="258" t="s">
        <v>8701</v>
      </c>
      <c r="J450" s="288">
        <v>43984</v>
      </c>
      <c r="K450" s="61"/>
      <c r="L450" s="61"/>
      <c r="M450" s="61"/>
      <c r="N450" s="61"/>
      <c r="O450" s="61"/>
      <c r="P450" s="61"/>
      <c r="Q450" s="61"/>
      <c r="R450" s="61"/>
      <c r="S450" s="61"/>
      <c r="T450" s="61"/>
      <c r="U450" s="61"/>
      <c r="V450" s="61"/>
      <c r="W450" s="61"/>
      <c r="X450" s="61"/>
      <c r="Y450" s="61"/>
      <c r="Z450" s="61"/>
    </row>
    <row r="451" spans="1:26" ht="16">
      <c r="A451" s="289" t="s">
        <v>1267</v>
      </c>
      <c r="B451" s="290" t="s">
        <v>8711</v>
      </c>
      <c r="C451" s="290" t="s">
        <v>8712</v>
      </c>
      <c r="D451" s="291" t="s">
        <v>8713</v>
      </c>
      <c r="E451" s="291" t="s">
        <v>2637</v>
      </c>
      <c r="F451" s="291" t="s">
        <v>46</v>
      </c>
      <c r="G451" s="292"/>
      <c r="H451" s="293" t="s">
        <v>8721</v>
      </c>
      <c r="I451" s="291" t="s">
        <v>214</v>
      </c>
      <c r="J451" s="61"/>
      <c r="K451" s="61"/>
      <c r="L451" s="61"/>
      <c r="M451" s="61"/>
      <c r="N451" s="61"/>
      <c r="O451" s="61"/>
      <c r="P451" s="61"/>
      <c r="Q451" s="61"/>
      <c r="R451" s="61"/>
      <c r="S451" s="61"/>
      <c r="T451" s="61"/>
      <c r="U451" s="61"/>
      <c r="V451" s="61"/>
      <c r="W451" s="61"/>
      <c r="X451" s="61"/>
      <c r="Y451" s="61"/>
      <c r="Z451" s="61"/>
    </row>
    <row r="452" spans="1:26" ht="16">
      <c r="A452" s="289" t="s">
        <v>8729</v>
      </c>
      <c r="B452" s="290" t="s">
        <v>8730</v>
      </c>
      <c r="C452" s="290" t="s">
        <v>8731</v>
      </c>
      <c r="D452" s="291" t="s">
        <v>8713</v>
      </c>
      <c r="E452" s="291" t="s">
        <v>2637</v>
      </c>
      <c r="F452" s="291" t="s">
        <v>46</v>
      </c>
      <c r="G452" s="292"/>
      <c r="H452" s="293" t="s">
        <v>8721</v>
      </c>
      <c r="I452" s="291" t="s">
        <v>266</v>
      </c>
      <c r="J452" s="61"/>
      <c r="K452" s="61"/>
      <c r="L452" s="61"/>
      <c r="M452" s="61"/>
      <c r="N452" s="61"/>
      <c r="O452" s="61"/>
      <c r="P452" s="61"/>
      <c r="Q452" s="61"/>
      <c r="R452" s="61"/>
      <c r="S452" s="61"/>
      <c r="T452" s="61"/>
      <c r="U452" s="61"/>
      <c r="V452" s="61"/>
      <c r="W452" s="61"/>
      <c r="X452" s="61"/>
      <c r="Y452" s="61"/>
      <c r="Z452" s="61"/>
    </row>
    <row r="453" spans="1:26" ht="16">
      <c r="A453" s="289" t="s">
        <v>958</v>
      </c>
      <c r="B453" s="294" t="s">
        <v>8735</v>
      </c>
      <c r="C453" s="290" t="s">
        <v>8738</v>
      </c>
      <c r="D453" s="291" t="s">
        <v>8713</v>
      </c>
      <c r="E453" s="291" t="s">
        <v>2637</v>
      </c>
      <c r="F453" s="291" t="s">
        <v>46</v>
      </c>
      <c r="G453" s="292"/>
      <c r="H453" s="293" t="s">
        <v>8721</v>
      </c>
      <c r="I453" s="291" t="s">
        <v>32</v>
      </c>
      <c r="J453" s="61"/>
      <c r="K453" s="61"/>
      <c r="L453" s="61"/>
      <c r="M453" s="61"/>
      <c r="N453" s="61"/>
      <c r="O453" s="61"/>
      <c r="P453" s="61"/>
      <c r="Q453" s="61"/>
      <c r="R453" s="61"/>
      <c r="S453" s="61"/>
      <c r="T453" s="61"/>
      <c r="U453" s="61"/>
      <c r="V453" s="61"/>
      <c r="W453" s="61"/>
      <c r="X453" s="61"/>
      <c r="Y453" s="61"/>
      <c r="Z453" s="61"/>
    </row>
    <row r="454" spans="1:26" ht="16">
      <c r="A454" s="289" t="s">
        <v>8747</v>
      </c>
      <c r="B454" s="290" t="s">
        <v>8748</v>
      </c>
      <c r="C454" s="290" t="s">
        <v>8749</v>
      </c>
      <c r="D454" s="291" t="s">
        <v>8713</v>
      </c>
      <c r="E454" s="291" t="s">
        <v>2637</v>
      </c>
      <c r="F454" s="291" t="s">
        <v>46</v>
      </c>
      <c r="G454" s="292"/>
      <c r="H454" s="293" t="s">
        <v>8721</v>
      </c>
      <c r="I454" s="291" t="s">
        <v>214</v>
      </c>
      <c r="J454" s="61"/>
      <c r="K454" s="61"/>
      <c r="L454" s="61"/>
      <c r="M454" s="61"/>
      <c r="N454" s="61"/>
      <c r="O454" s="61"/>
      <c r="P454" s="61"/>
      <c r="Q454" s="61"/>
      <c r="R454" s="61"/>
      <c r="S454" s="61"/>
      <c r="T454" s="61"/>
      <c r="U454" s="61"/>
      <c r="V454" s="61"/>
      <c r="W454" s="61"/>
      <c r="X454" s="61"/>
      <c r="Y454" s="61"/>
      <c r="Z454" s="61"/>
    </row>
    <row r="455" spans="1:26" ht="345">
      <c r="A455" s="60" t="s">
        <v>8755</v>
      </c>
      <c r="B455" s="60" t="s">
        <v>8756</v>
      </c>
      <c r="C455" s="60" t="s">
        <v>8757</v>
      </c>
      <c r="D455" s="60" t="s">
        <v>8758</v>
      </c>
      <c r="E455" s="60" t="s">
        <v>266</v>
      </c>
      <c r="F455" s="60" t="s">
        <v>46</v>
      </c>
      <c r="G455" s="179"/>
      <c r="H455" s="60" t="s">
        <v>8760</v>
      </c>
      <c r="I455" s="60" t="s">
        <v>266</v>
      </c>
      <c r="J455" s="295">
        <v>43985</v>
      </c>
      <c r="K455" s="61"/>
      <c r="L455" s="61"/>
      <c r="M455" s="61"/>
      <c r="N455" s="61"/>
      <c r="O455" s="61"/>
      <c r="P455" s="61"/>
      <c r="Q455" s="61"/>
      <c r="R455" s="61"/>
      <c r="S455" s="61"/>
      <c r="T455" s="61"/>
      <c r="U455" s="61"/>
      <c r="V455" s="61"/>
      <c r="W455" s="61"/>
      <c r="X455" s="61"/>
      <c r="Y455" s="61"/>
      <c r="Z455" s="61"/>
    </row>
    <row r="456" spans="1:26" ht="409.6">
      <c r="A456" s="60" t="s">
        <v>8764</v>
      </c>
      <c r="B456" s="60" t="s">
        <v>8765</v>
      </c>
      <c r="C456" s="60" t="s">
        <v>8766</v>
      </c>
      <c r="D456" s="60" t="s">
        <v>7836</v>
      </c>
      <c r="E456" s="60" t="s">
        <v>7837</v>
      </c>
      <c r="F456" s="60" t="s">
        <v>33</v>
      </c>
      <c r="G456" s="255" t="s">
        <v>7842</v>
      </c>
      <c r="H456" s="60" t="s">
        <v>7855</v>
      </c>
      <c r="I456" s="60" t="s">
        <v>8772</v>
      </c>
      <c r="J456" s="296">
        <v>43896</v>
      </c>
      <c r="K456" s="61"/>
      <c r="L456" s="61"/>
      <c r="M456" s="61"/>
      <c r="N456" s="61"/>
      <c r="O456" s="61"/>
      <c r="P456" s="61"/>
      <c r="Q456" s="61"/>
      <c r="R456" s="61"/>
      <c r="S456" s="61"/>
      <c r="T456" s="61"/>
      <c r="U456" s="61"/>
      <c r="V456" s="61"/>
      <c r="W456" s="61"/>
      <c r="X456" s="61"/>
      <c r="Y456" s="61"/>
      <c r="Z456" s="61"/>
    </row>
    <row r="457" spans="1:26" ht="84">
      <c r="A457" s="77" t="s">
        <v>8776</v>
      </c>
      <c r="B457" s="77" t="s">
        <v>8777</v>
      </c>
      <c r="C457" s="297" t="s">
        <v>8779</v>
      </c>
      <c r="D457" s="77" t="s">
        <v>8780</v>
      </c>
      <c r="E457" s="77" t="s">
        <v>8781</v>
      </c>
      <c r="F457" s="77" t="s">
        <v>33</v>
      </c>
      <c r="G457" s="266" t="s">
        <v>8783</v>
      </c>
      <c r="H457" s="77" t="s">
        <v>8790</v>
      </c>
      <c r="I457" s="61" t="s">
        <v>161</v>
      </c>
      <c r="J457" s="61"/>
      <c r="K457" s="61"/>
      <c r="L457" s="61"/>
      <c r="M457" s="61"/>
      <c r="N457" s="61"/>
      <c r="O457" s="61"/>
      <c r="P457" s="61"/>
      <c r="Q457" s="61"/>
      <c r="R457" s="61"/>
      <c r="S457" s="61"/>
      <c r="T457" s="61"/>
      <c r="U457" s="61"/>
      <c r="V457" s="61"/>
      <c r="W457" s="61"/>
      <c r="X457" s="61"/>
      <c r="Y457" s="61"/>
      <c r="Z457" s="61"/>
    </row>
    <row r="458" spans="1:26" ht="98">
      <c r="A458" s="77" t="s">
        <v>1524</v>
      </c>
      <c r="B458" s="77" t="s">
        <v>8804</v>
      </c>
      <c r="C458" s="297" t="s">
        <v>8805</v>
      </c>
      <c r="D458" s="77" t="s">
        <v>8780</v>
      </c>
      <c r="E458" s="77" t="s">
        <v>8781</v>
      </c>
      <c r="F458" s="77" t="s">
        <v>33</v>
      </c>
      <c r="G458" s="266" t="s">
        <v>8783</v>
      </c>
      <c r="H458" s="77" t="s">
        <v>8813</v>
      </c>
      <c r="I458" s="61" t="s">
        <v>63</v>
      </c>
      <c r="J458" s="61"/>
      <c r="K458" s="61"/>
      <c r="L458" s="61"/>
      <c r="M458" s="61"/>
      <c r="N458" s="61"/>
      <c r="O458" s="61"/>
      <c r="P458" s="61"/>
      <c r="Q458" s="61"/>
      <c r="R458" s="61"/>
      <c r="S458" s="61"/>
      <c r="T458" s="61"/>
      <c r="U458" s="61"/>
      <c r="V458" s="61"/>
      <c r="W458" s="61"/>
      <c r="X458" s="61"/>
      <c r="Y458" s="61"/>
      <c r="Z458" s="61"/>
    </row>
    <row r="459" spans="1:26" ht="84">
      <c r="A459" s="77" t="s">
        <v>8818</v>
      </c>
      <c r="B459" s="77" t="s">
        <v>8819</v>
      </c>
      <c r="C459" s="297" t="s">
        <v>8822</v>
      </c>
      <c r="D459" s="77" t="s">
        <v>8780</v>
      </c>
      <c r="E459" s="77" t="s">
        <v>8781</v>
      </c>
      <c r="F459" s="77" t="s">
        <v>33</v>
      </c>
      <c r="G459" s="266" t="s">
        <v>8783</v>
      </c>
      <c r="H459" s="77" t="s">
        <v>8813</v>
      </c>
      <c r="I459" s="61" t="s">
        <v>214</v>
      </c>
      <c r="J459" s="61"/>
      <c r="K459" s="61"/>
      <c r="L459" s="61"/>
      <c r="M459" s="61"/>
      <c r="N459" s="61"/>
      <c r="O459" s="61"/>
      <c r="P459" s="61"/>
      <c r="Q459" s="61"/>
      <c r="R459" s="61"/>
      <c r="S459" s="61"/>
      <c r="T459" s="61"/>
      <c r="U459" s="61"/>
      <c r="V459" s="61"/>
      <c r="W459" s="61"/>
      <c r="X459" s="61"/>
      <c r="Y459" s="61"/>
      <c r="Z459" s="61"/>
    </row>
    <row r="460" spans="1:26" ht="98">
      <c r="A460" s="77" t="s">
        <v>4232</v>
      </c>
      <c r="B460" s="77" t="s">
        <v>8839</v>
      </c>
      <c r="C460" s="297" t="s">
        <v>8840</v>
      </c>
      <c r="D460" s="77" t="s">
        <v>8780</v>
      </c>
      <c r="E460" s="77" t="s">
        <v>8781</v>
      </c>
      <c r="F460" s="77" t="s">
        <v>33</v>
      </c>
      <c r="G460" s="266" t="s">
        <v>8783</v>
      </c>
      <c r="H460" s="77" t="s">
        <v>8813</v>
      </c>
      <c r="I460" s="61" t="s">
        <v>32</v>
      </c>
      <c r="J460" s="61"/>
      <c r="K460" s="61"/>
      <c r="L460" s="61"/>
      <c r="M460" s="61"/>
      <c r="N460" s="61"/>
      <c r="O460" s="61"/>
      <c r="P460" s="61"/>
      <c r="Q460" s="61"/>
      <c r="R460" s="61"/>
      <c r="S460" s="61"/>
      <c r="T460" s="61"/>
      <c r="U460" s="61"/>
      <c r="V460" s="61"/>
      <c r="W460" s="61"/>
      <c r="X460" s="61"/>
      <c r="Y460" s="61"/>
      <c r="Z460" s="61"/>
    </row>
    <row r="461" spans="1:26" ht="84">
      <c r="A461" s="184" t="s">
        <v>8853</v>
      </c>
      <c r="B461" s="77" t="s">
        <v>8854</v>
      </c>
      <c r="C461" s="298"/>
      <c r="D461" s="77" t="s">
        <v>8780</v>
      </c>
      <c r="E461" s="77" t="s">
        <v>8781</v>
      </c>
      <c r="F461" s="77" t="s">
        <v>33</v>
      </c>
      <c r="G461" s="266" t="s">
        <v>8783</v>
      </c>
      <c r="H461" s="77" t="s">
        <v>8813</v>
      </c>
      <c r="I461" s="61" t="s">
        <v>134</v>
      </c>
      <c r="J461" s="61"/>
      <c r="K461" s="61"/>
      <c r="L461" s="61"/>
      <c r="M461" s="61"/>
      <c r="N461" s="61"/>
      <c r="O461" s="61"/>
      <c r="P461" s="61"/>
      <c r="Q461" s="61"/>
      <c r="R461" s="61"/>
      <c r="S461" s="61"/>
      <c r="T461" s="61"/>
      <c r="U461" s="61"/>
      <c r="V461" s="61"/>
      <c r="W461" s="61"/>
      <c r="X461" s="61"/>
      <c r="Y461" s="61"/>
      <c r="Z461" s="61"/>
    </row>
    <row r="462" spans="1:26" ht="15">
      <c r="A462" s="200" t="s">
        <v>8868</v>
      </c>
      <c r="B462" s="202" t="s">
        <v>8869</v>
      </c>
      <c r="C462" s="202" t="s">
        <v>8871</v>
      </c>
      <c r="D462" s="200" t="s">
        <v>8874</v>
      </c>
      <c r="E462" s="200" t="s">
        <v>8875</v>
      </c>
      <c r="F462" s="200" t="s">
        <v>8876</v>
      </c>
      <c r="G462" s="299"/>
      <c r="H462" s="300" t="s">
        <v>8879</v>
      </c>
      <c r="I462" s="61"/>
      <c r="J462" s="61"/>
      <c r="K462" s="61"/>
      <c r="L462" s="61"/>
      <c r="M462" s="61"/>
      <c r="N462" s="61"/>
      <c r="O462" s="61"/>
      <c r="P462" s="61"/>
      <c r="Q462" s="61"/>
      <c r="R462" s="61"/>
      <c r="S462" s="61"/>
      <c r="T462" s="61"/>
      <c r="U462" s="61"/>
      <c r="V462" s="61"/>
      <c r="W462" s="61"/>
      <c r="X462" s="61"/>
      <c r="Y462" s="61"/>
      <c r="Z462" s="61"/>
    </row>
    <row r="463" spans="1:26" ht="15">
      <c r="A463" s="200" t="s">
        <v>798</v>
      </c>
      <c r="B463" s="202" t="s">
        <v>8896</v>
      </c>
      <c r="C463" s="202" t="s">
        <v>8897</v>
      </c>
      <c r="D463" s="200" t="s">
        <v>8874</v>
      </c>
      <c r="E463" s="200" t="s">
        <v>8875</v>
      </c>
      <c r="F463" s="200" t="s">
        <v>8876</v>
      </c>
      <c r="G463" s="299"/>
      <c r="H463" s="300" t="s">
        <v>8898</v>
      </c>
      <c r="I463" s="61"/>
      <c r="J463" s="61"/>
      <c r="K463" s="61"/>
      <c r="L463" s="61"/>
      <c r="M463" s="61"/>
      <c r="N463" s="61"/>
      <c r="O463" s="61"/>
      <c r="P463" s="61"/>
      <c r="Q463" s="61"/>
      <c r="R463" s="61"/>
      <c r="S463" s="61"/>
      <c r="T463" s="61"/>
      <c r="U463" s="61"/>
      <c r="V463" s="61"/>
      <c r="W463" s="61"/>
      <c r="X463" s="61"/>
      <c r="Y463" s="61"/>
      <c r="Z463" s="61"/>
    </row>
    <row r="464" spans="1:26" ht="15">
      <c r="A464" s="200" t="s">
        <v>8818</v>
      </c>
      <c r="B464" s="202" t="s">
        <v>8902</v>
      </c>
      <c r="C464" s="202" t="s">
        <v>8903</v>
      </c>
      <c r="D464" s="200" t="s">
        <v>8874</v>
      </c>
      <c r="E464" s="200" t="s">
        <v>8875</v>
      </c>
      <c r="F464" s="200" t="s">
        <v>8876</v>
      </c>
      <c r="G464" s="299"/>
      <c r="H464" s="300" t="s">
        <v>8898</v>
      </c>
      <c r="I464" s="61"/>
      <c r="J464" s="61"/>
      <c r="K464" s="61"/>
      <c r="L464" s="61"/>
      <c r="M464" s="61"/>
      <c r="N464" s="61"/>
      <c r="O464" s="61"/>
      <c r="P464" s="61"/>
      <c r="Q464" s="61"/>
      <c r="R464" s="61"/>
      <c r="S464" s="61"/>
      <c r="T464" s="61"/>
      <c r="U464" s="61"/>
      <c r="V464" s="61"/>
      <c r="W464" s="61"/>
      <c r="X464" s="61"/>
      <c r="Y464" s="61"/>
      <c r="Z464" s="61"/>
    </row>
    <row r="465" spans="1:26" ht="15">
      <c r="A465" s="200" t="s">
        <v>1267</v>
      </c>
      <c r="B465" s="202" t="s">
        <v>8908</v>
      </c>
      <c r="C465" s="202" t="s">
        <v>8910</v>
      </c>
      <c r="D465" s="200" t="s">
        <v>8874</v>
      </c>
      <c r="E465" s="200" t="s">
        <v>8875</v>
      </c>
      <c r="F465" s="200" t="s">
        <v>8876</v>
      </c>
      <c r="G465" s="299"/>
      <c r="H465" s="300" t="s">
        <v>8898</v>
      </c>
      <c r="I465" s="61"/>
      <c r="J465" s="61"/>
      <c r="K465" s="61"/>
      <c r="L465" s="61"/>
      <c r="M465" s="61"/>
      <c r="N465" s="61"/>
      <c r="O465" s="61"/>
      <c r="P465" s="61"/>
      <c r="Q465" s="61"/>
      <c r="R465" s="61"/>
      <c r="S465" s="61"/>
      <c r="T465" s="61"/>
      <c r="U465" s="61"/>
      <c r="V465" s="61"/>
      <c r="W465" s="61"/>
      <c r="X465" s="61"/>
      <c r="Y465" s="61"/>
      <c r="Z465" s="61"/>
    </row>
    <row r="466" spans="1:26" ht="224">
      <c r="A466" s="113" t="s">
        <v>1855</v>
      </c>
      <c r="B466" s="301" t="s">
        <v>8912</v>
      </c>
      <c r="C466" s="72" t="s">
        <v>8920</v>
      </c>
      <c r="D466" s="72" t="s">
        <v>8922</v>
      </c>
      <c r="E466" s="72" t="s">
        <v>2637</v>
      </c>
      <c r="F466" s="72" t="s">
        <v>46</v>
      </c>
      <c r="G466" s="111"/>
      <c r="H466" s="72" t="s">
        <v>8925</v>
      </c>
      <c r="I466" s="302" t="s">
        <v>32</v>
      </c>
      <c r="J466" s="303"/>
      <c r="K466" s="303"/>
      <c r="L466" s="303"/>
      <c r="M466" s="303"/>
      <c r="N466" s="303"/>
      <c r="O466" s="303"/>
      <c r="P466" s="303"/>
      <c r="Q466" s="303"/>
      <c r="R466" s="303"/>
      <c r="S466" s="303"/>
      <c r="T466" s="303"/>
      <c r="U466" s="303"/>
      <c r="V466" s="303"/>
      <c r="W466" s="303"/>
      <c r="X466" s="303"/>
      <c r="Y466" s="303"/>
      <c r="Z466" s="303"/>
    </row>
    <row r="467" spans="1:26" ht="196">
      <c r="A467" s="113" t="s">
        <v>1888</v>
      </c>
      <c r="B467" s="301" t="s">
        <v>8931</v>
      </c>
      <c r="C467" s="72" t="s">
        <v>8934</v>
      </c>
      <c r="D467" s="72" t="s">
        <v>8922</v>
      </c>
      <c r="E467" s="72" t="s">
        <v>2637</v>
      </c>
      <c r="F467" s="72" t="s">
        <v>46</v>
      </c>
      <c r="G467" s="111"/>
      <c r="H467" s="72" t="s">
        <v>8925</v>
      </c>
      <c r="I467" s="60" t="s">
        <v>32</v>
      </c>
      <c r="J467" s="303"/>
      <c r="K467" s="303"/>
      <c r="L467" s="303"/>
      <c r="M467" s="303"/>
      <c r="N467" s="303"/>
      <c r="O467" s="303"/>
      <c r="P467" s="303"/>
      <c r="Q467" s="303"/>
      <c r="R467" s="303"/>
      <c r="S467" s="303"/>
      <c r="T467" s="303"/>
      <c r="U467" s="303"/>
      <c r="V467" s="303"/>
      <c r="W467" s="303"/>
      <c r="X467" s="303"/>
      <c r="Y467" s="303"/>
      <c r="Z467" s="303"/>
    </row>
    <row r="468" spans="1:26" ht="13">
      <c r="A468" s="184" t="s">
        <v>8939</v>
      </c>
      <c r="B468" s="184" t="s">
        <v>8940</v>
      </c>
      <c r="C468" s="184" t="s">
        <v>8941</v>
      </c>
      <c r="D468" s="184" t="s">
        <v>8942</v>
      </c>
      <c r="E468" s="184" t="s">
        <v>2637</v>
      </c>
      <c r="F468" s="184" t="s">
        <v>8943</v>
      </c>
      <c r="G468" s="304" t="s">
        <v>8944</v>
      </c>
      <c r="H468" s="184" t="s">
        <v>8953</v>
      </c>
      <c r="I468" s="184" t="s">
        <v>32</v>
      </c>
      <c r="J468" s="61"/>
      <c r="K468" s="61"/>
      <c r="L468" s="61"/>
      <c r="M468" s="61"/>
      <c r="N468" s="61"/>
      <c r="O468" s="61"/>
      <c r="P468" s="61"/>
      <c r="Q468" s="61"/>
      <c r="R468" s="61"/>
      <c r="S468" s="61"/>
      <c r="T468" s="61"/>
      <c r="U468" s="61"/>
      <c r="V468" s="61"/>
      <c r="W468" s="61"/>
      <c r="X468" s="61"/>
      <c r="Y468" s="61"/>
      <c r="Z468" s="61"/>
    </row>
    <row r="469" spans="1:26" ht="39">
      <c r="A469" s="305" t="s">
        <v>8957</v>
      </c>
      <c r="B469" s="305" t="s">
        <v>8962</v>
      </c>
      <c r="C469" s="305" t="s">
        <v>8966</v>
      </c>
      <c r="D469" s="305" t="s">
        <v>8967</v>
      </c>
      <c r="E469" s="305" t="s">
        <v>8968</v>
      </c>
      <c r="F469" s="305" t="s">
        <v>46</v>
      </c>
      <c r="G469" s="306" t="s">
        <v>8970</v>
      </c>
      <c r="H469" s="305" t="s">
        <v>8988</v>
      </c>
      <c r="I469" s="307"/>
      <c r="J469" s="61"/>
      <c r="K469" s="61"/>
      <c r="L469" s="61"/>
      <c r="M469" s="61"/>
      <c r="N469" s="61"/>
      <c r="O469" s="61"/>
      <c r="P469" s="61"/>
      <c r="Q469" s="61"/>
      <c r="R469" s="61"/>
      <c r="S469" s="61"/>
      <c r="T469" s="61"/>
      <c r="U469" s="61"/>
      <c r="V469" s="61"/>
      <c r="W469" s="61"/>
      <c r="X469" s="61"/>
      <c r="Y469" s="61"/>
      <c r="Z469" s="61"/>
    </row>
    <row r="470" spans="1:26" ht="13">
      <c r="A470" s="61"/>
      <c r="B470" s="61"/>
      <c r="C470" s="61"/>
      <c r="D470" s="61"/>
      <c r="E470" s="61"/>
      <c r="F470" s="61"/>
      <c r="G470" s="179"/>
      <c r="H470" s="61"/>
      <c r="I470" s="61"/>
      <c r="J470" s="61"/>
      <c r="K470" s="61"/>
      <c r="L470" s="61"/>
      <c r="M470" s="61"/>
      <c r="N470" s="61"/>
      <c r="O470" s="61"/>
      <c r="P470" s="61"/>
      <c r="Q470" s="61"/>
      <c r="R470" s="61"/>
      <c r="S470" s="61"/>
      <c r="T470" s="61"/>
      <c r="U470" s="61"/>
      <c r="V470" s="61"/>
      <c r="W470" s="61"/>
      <c r="X470" s="61"/>
      <c r="Y470" s="61"/>
      <c r="Z470" s="61"/>
    </row>
    <row r="471" spans="1:26" ht="13">
      <c r="A471" s="61"/>
      <c r="B471" s="61"/>
      <c r="C471" s="61"/>
      <c r="D471" s="61"/>
      <c r="E471" s="61"/>
      <c r="F471" s="61"/>
      <c r="G471" s="179"/>
      <c r="H471" s="61"/>
      <c r="I471" s="61"/>
      <c r="J471" s="61"/>
      <c r="K471" s="61"/>
      <c r="L471" s="61"/>
      <c r="M471" s="61"/>
      <c r="N471" s="61"/>
      <c r="O471" s="61"/>
      <c r="P471" s="61"/>
      <c r="Q471" s="61"/>
      <c r="R471" s="61"/>
      <c r="S471" s="61"/>
      <c r="T471" s="61"/>
      <c r="U471" s="61"/>
      <c r="V471" s="61"/>
      <c r="W471" s="61"/>
      <c r="X471" s="61"/>
      <c r="Y471" s="61"/>
      <c r="Z471" s="61"/>
    </row>
    <row r="472" spans="1:26" ht="13">
      <c r="A472" s="61"/>
      <c r="B472" s="61"/>
      <c r="C472" s="61"/>
      <c r="D472" s="61"/>
      <c r="E472" s="61"/>
      <c r="F472" s="61"/>
      <c r="G472" s="179"/>
      <c r="H472" s="61"/>
      <c r="I472" s="61"/>
      <c r="J472" s="61"/>
      <c r="K472" s="61"/>
      <c r="L472" s="61"/>
      <c r="M472" s="61"/>
      <c r="N472" s="61"/>
      <c r="O472" s="61"/>
      <c r="P472" s="61"/>
      <c r="Q472" s="61"/>
      <c r="R472" s="61"/>
      <c r="S472" s="61"/>
      <c r="T472" s="61"/>
      <c r="U472" s="61"/>
      <c r="V472" s="61"/>
      <c r="W472" s="61"/>
      <c r="X472" s="61"/>
      <c r="Y472" s="61"/>
      <c r="Z472" s="61"/>
    </row>
    <row r="473" spans="1:26" ht="13">
      <c r="A473" s="61"/>
      <c r="B473" s="61"/>
      <c r="C473" s="61"/>
      <c r="D473" s="61"/>
      <c r="E473" s="61"/>
      <c r="F473" s="61"/>
      <c r="G473" s="179"/>
      <c r="H473" s="61"/>
      <c r="I473" s="61"/>
      <c r="J473" s="61"/>
      <c r="K473" s="61"/>
      <c r="L473" s="61"/>
      <c r="M473" s="61"/>
      <c r="N473" s="61"/>
      <c r="O473" s="61"/>
      <c r="P473" s="61"/>
      <c r="Q473" s="61"/>
      <c r="R473" s="61"/>
      <c r="S473" s="61"/>
      <c r="T473" s="61"/>
      <c r="U473" s="61"/>
      <c r="V473" s="61"/>
      <c r="W473" s="61"/>
      <c r="X473" s="61"/>
      <c r="Y473" s="61"/>
      <c r="Z473" s="61"/>
    </row>
    <row r="474" spans="1:26" ht="13">
      <c r="A474" s="61"/>
      <c r="B474" s="61"/>
      <c r="C474" s="61"/>
      <c r="D474" s="61"/>
      <c r="E474" s="61"/>
      <c r="F474" s="61"/>
      <c r="G474" s="179"/>
      <c r="H474" s="61"/>
      <c r="I474" s="61"/>
      <c r="J474" s="61"/>
      <c r="K474" s="61"/>
      <c r="L474" s="61"/>
      <c r="M474" s="61"/>
      <c r="N474" s="61"/>
      <c r="O474" s="61"/>
      <c r="P474" s="61"/>
      <c r="Q474" s="61"/>
      <c r="R474" s="61"/>
      <c r="S474" s="61"/>
      <c r="T474" s="61"/>
      <c r="U474" s="61"/>
      <c r="V474" s="61"/>
      <c r="W474" s="61"/>
      <c r="X474" s="61"/>
      <c r="Y474" s="61"/>
      <c r="Z474" s="61"/>
    </row>
    <row r="475" spans="1:26" ht="13">
      <c r="A475" s="61"/>
      <c r="B475" s="61"/>
      <c r="C475" s="61"/>
      <c r="D475" s="61"/>
      <c r="E475" s="61"/>
      <c r="F475" s="61"/>
      <c r="G475" s="179"/>
      <c r="H475" s="61"/>
      <c r="I475" s="61"/>
      <c r="J475" s="61"/>
      <c r="K475" s="61"/>
      <c r="L475" s="61"/>
      <c r="M475" s="61"/>
      <c r="N475" s="61"/>
      <c r="O475" s="61"/>
      <c r="P475" s="61"/>
      <c r="Q475" s="61"/>
      <c r="R475" s="61"/>
      <c r="S475" s="61"/>
      <c r="T475" s="61"/>
      <c r="U475" s="61"/>
      <c r="V475" s="61"/>
      <c r="W475" s="61"/>
      <c r="X475" s="61"/>
      <c r="Y475" s="61"/>
      <c r="Z475" s="61"/>
    </row>
    <row r="476" spans="1:26" ht="13">
      <c r="A476" s="61"/>
      <c r="B476" s="61"/>
      <c r="C476" s="61"/>
      <c r="D476" s="61"/>
      <c r="E476" s="61"/>
      <c r="F476" s="61"/>
      <c r="G476" s="179"/>
      <c r="H476" s="61"/>
      <c r="I476" s="61"/>
      <c r="J476" s="61"/>
      <c r="K476" s="61"/>
      <c r="L476" s="61"/>
      <c r="M476" s="61"/>
      <c r="N476" s="61"/>
      <c r="O476" s="61"/>
      <c r="P476" s="61"/>
      <c r="Q476" s="61"/>
      <c r="R476" s="61"/>
      <c r="S476" s="61"/>
      <c r="T476" s="61"/>
      <c r="U476" s="61"/>
      <c r="V476" s="61"/>
      <c r="W476" s="61"/>
      <c r="X476" s="61"/>
      <c r="Y476" s="61"/>
      <c r="Z476" s="61"/>
    </row>
    <row r="477" spans="1:26" ht="13">
      <c r="A477" s="61"/>
      <c r="B477" s="61"/>
      <c r="C477" s="61"/>
      <c r="D477" s="61"/>
      <c r="E477" s="61"/>
      <c r="F477" s="61"/>
      <c r="G477" s="179"/>
      <c r="H477" s="61"/>
      <c r="I477" s="61"/>
      <c r="J477" s="61"/>
      <c r="K477" s="61"/>
      <c r="L477" s="61"/>
      <c r="M477" s="61"/>
      <c r="N477" s="61"/>
      <c r="O477" s="61"/>
      <c r="P477" s="61"/>
      <c r="Q477" s="61"/>
      <c r="R477" s="61"/>
      <c r="S477" s="61"/>
      <c r="T477" s="61"/>
      <c r="U477" s="61"/>
      <c r="V477" s="61"/>
      <c r="W477" s="61"/>
      <c r="X477" s="61"/>
      <c r="Y477" s="61"/>
      <c r="Z477" s="61"/>
    </row>
    <row r="478" spans="1:26" ht="13">
      <c r="A478" s="61"/>
      <c r="B478" s="61"/>
      <c r="C478" s="61"/>
      <c r="D478" s="61"/>
      <c r="E478" s="61"/>
      <c r="F478" s="61"/>
      <c r="G478" s="179"/>
      <c r="H478" s="61"/>
      <c r="I478" s="61"/>
      <c r="J478" s="61"/>
      <c r="K478" s="61"/>
      <c r="L478" s="61"/>
      <c r="M478" s="61"/>
      <c r="N478" s="61"/>
      <c r="O478" s="61"/>
      <c r="P478" s="61"/>
      <c r="Q478" s="61"/>
      <c r="R478" s="61"/>
      <c r="S478" s="61"/>
      <c r="T478" s="61"/>
      <c r="U478" s="61"/>
      <c r="V478" s="61"/>
      <c r="W478" s="61"/>
      <c r="X478" s="61"/>
      <c r="Y478" s="61"/>
      <c r="Z478" s="61"/>
    </row>
    <row r="479" spans="1:26" ht="13">
      <c r="A479" s="61"/>
      <c r="B479" s="61"/>
      <c r="C479" s="61"/>
      <c r="D479" s="61"/>
      <c r="E479" s="61"/>
      <c r="F479" s="61"/>
      <c r="G479" s="179"/>
      <c r="H479" s="61"/>
      <c r="I479" s="61"/>
      <c r="J479" s="61"/>
      <c r="K479" s="61"/>
      <c r="L479" s="61"/>
      <c r="M479" s="61"/>
      <c r="N479" s="61"/>
      <c r="O479" s="61"/>
      <c r="P479" s="61"/>
      <c r="Q479" s="61"/>
      <c r="R479" s="61"/>
      <c r="S479" s="61"/>
      <c r="T479" s="61"/>
      <c r="U479" s="61"/>
      <c r="V479" s="61"/>
      <c r="W479" s="61"/>
      <c r="X479" s="61"/>
      <c r="Y479" s="61"/>
      <c r="Z479" s="61"/>
    </row>
    <row r="480" spans="1:26" ht="13">
      <c r="A480" s="61"/>
      <c r="B480" s="61"/>
      <c r="C480" s="61"/>
      <c r="D480" s="61"/>
      <c r="E480" s="61"/>
      <c r="F480" s="61"/>
      <c r="G480" s="179"/>
      <c r="H480" s="61"/>
      <c r="I480" s="61"/>
      <c r="J480" s="61"/>
      <c r="K480" s="61"/>
      <c r="L480" s="61"/>
      <c r="M480" s="61"/>
      <c r="N480" s="61"/>
      <c r="O480" s="61"/>
      <c r="P480" s="61"/>
      <c r="Q480" s="61"/>
      <c r="R480" s="61"/>
      <c r="S480" s="61"/>
      <c r="T480" s="61"/>
      <c r="U480" s="61"/>
      <c r="V480" s="61"/>
      <c r="W480" s="61"/>
      <c r="X480" s="61"/>
      <c r="Y480" s="61"/>
      <c r="Z480" s="61"/>
    </row>
    <row r="481" spans="1:26" ht="13">
      <c r="A481" s="61"/>
      <c r="B481" s="61"/>
      <c r="C481" s="61"/>
      <c r="D481" s="61"/>
      <c r="E481" s="61"/>
      <c r="F481" s="61"/>
      <c r="G481" s="179"/>
      <c r="H481" s="61"/>
      <c r="I481" s="61"/>
      <c r="J481" s="61"/>
      <c r="K481" s="61"/>
      <c r="L481" s="61"/>
      <c r="M481" s="61"/>
      <c r="N481" s="61"/>
      <c r="O481" s="61"/>
      <c r="P481" s="61"/>
      <c r="Q481" s="61"/>
      <c r="R481" s="61"/>
      <c r="S481" s="61"/>
      <c r="T481" s="61"/>
      <c r="U481" s="61"/>
      <c r="V481" s="61"/>
      <c r="W481" s="61"/>
      <c r="X481" s="61"/>
      <c r="Y481" s="61"/>
      <c r="Z481" s="61"/>
    </row>
    <row r="482" spans="1:26" ht="13">
      <c r="A482" s="61"/>
      <c r="B482" s="61"/>
      <c r="C482" s="61"/>
      <c r="D482" s="61"/>
      <c r="E482" s="61"/>
      <c r="F482" s="61"/>
      <c r="G482" s="179"/>
      <c r="H482" s="61"/>
      <c r="I482" s="61"/>
      <c r="J482" s="61"/>
      <c r="K482" s="61"/>
      <c r="L482" s="61"/>
      <c r="M482" s="61"/>
      <c r="N482" s="61"/>
      <c r="O482" s="61"/>
      <c r="P482" s="61"/>
      <c r="Q482" s="61"/>
      <c r="R482" s="61"/>
      <c r="S482" s="61"/>
      <c r="T482" s="61"/>
      <c r="U482" s="61"/>
      <c r="V482" s="61"/>
      <c r="W482" s="61"/>
      <c r="X482" s="61"/>
      <c r="Y482" s="61"/>
      <c r="Z482" s="61"/>
    </row>
    <row r="483" spans="1:26" ht="13">
      <c r="A483" s="61"/>
      <c r="B483" s="61"/>
      <c r="C483" s="61"/>
      <c r="D483" s="61"/>
      <c r="E483" s="61"/>
      <c r="F483" s="61"/>
      <c r="G483" s="179"/>
      <c r="H483" s="61"/>
      <c r="I483" s="61"/>
      <c r="J483" s="61"/>
      <c r="K483" s="61"/>
      <c r="L483" s="61"/>
      <c r="M483" s="61"/>
      <c r="N483" s="61"/>
      <c r="O483" s="61"/>
      <c r="P483" s="61"/>
      <c r="Q483" s="61"/>
      <c r="R483" s="61"/>
      <c r="S483" s="61"/>
      <c r="T483" s="61"/>
      <c r="U483" s="61"/>
      <c r="V483" s="61"/>
      <c r="W483" s="61"/>
      <c r="X483" s="61"/>
      <c r="Y483" s="61"/>
      <c r="Z483" s="61"/>
    </row>
    <row r="484" spans="1:26" ht="13">
      <c r="A484" s="61"/>
      <c r="B484" s="61"/>
      <c r="C484" s="61"/>
      <c r="D484" s="61"/>
      <c r="E484" s="61"/>
      <c r="F484" s="61"/>
      <c r="G484" s="179"/>
      <c r="H484" s="61"/>
      <c r="I484" s="61"/>
      <c r="J484" s="61"/>
      <c r="K484" s="61"/>
      <c r="L484" s="61"/>
      <c r="M484" s="61"/>
      <c r="N484" s="61"/>
      <c r="O484" s="61"/>
      <c r="P484" s="61"/>
      <c r="Q484" s="61"/>
      <c r="R484" s="61"/>
      <c r="S484" s="61"/>
      <c r="T484" s="61"/>
      <c r="U484" s="61"/>
      <c r="V484" s="61"/>
      <c r="W484" s="61"/>
      <c r="X484" s="61"/>
      <c r="Y484" s="61"/>
      <c r="Z484" s="61"/>
    </row>
    <row r="485" spans="1:26" ht="13">
      <c r="A485" s="61"/>
      <c r="B485" s="61"/>
      <c r="C485" s="61"/>
      <c r="D485" s="61"/>
      <c r="E485" s="61"/>
      <c r="F485" s="61"/>
      <c r="G485" s="179"/>
      <c r="H485" s="61"/>
      <c r="I485" s="61"/>
      <c r="J485" s="61"/>
      <c r="K485" s="61"/>
      <c r="L485" s="61"/>
      <c r="M485" s="61"/>
      <c r="N485" s="61"/>
      <c r="O485" s="61"/>
      <c r="P485" s="61"/>
      <c r="Q485" s="61"/>
      <c r="R485" s="61"/>
      <c r="S485" s="61"/>
      <c r="T485" s="61"/>
      <c r="U485" s="61"/>
      <c r="V485" s="61"/>
      <c r="W485" s="61"/>
      <c r="X485" s="61"/>
      <c r="Y485" s="61"/>
      <c r="Z485" s="61"/>
    </row>
    <row r="486" spans="1:26" ht="13">
      <c r="A486" s="61"/>
      <c r="B486" s="61"/>
      <c r="C486" s="61"/>
      <c r="D486" s="61"/>
      <c r="E486" s="61"/>
      <c r="F486" s="61"/>
      <c r="G486" s="179"/>
      <c r="H486" s="61"/>
      <c r="I486" s="61"/>
      <c r="J486" s="61"/>
      <c r="K486" s="61"/>
      <c r="L486" s="61"/>
      <c r="M486" s="61"/>
      <c r="N486" s="61"/>
      <c r="O486" s="61"/>
      <c r="P486" s="61"/>
      <c r="Q486" s="61"/>
      <c r="R486" s="61"/>
      <c r="S486" s="61"/>
      <c r="T486" s="61"/>
      <c r="U486" s="61"/>
      <c r="V486" s="61"/>
      <c r="W486" s="61"/>
      <c r="X486" s="61"/>
      <c r="Y486" s="61"/>
      <c r="Z486" s="61"/>
    </row>
    <row r="487" spans="1:26" ht="13">
      <c r="A487" s="61"/>
      <c r="B487" s="61"/>
      <c r="C487" s="61"/>
      <c r="D487" s="61"/>
      <c r="E487" s="61"/>
      <c r="F487" s="61"/>
      <c r="G487" s="179"/>
      <c r="H487" s="61"/>
      <c r="I487" s="61"/>
      <c r="J487" s="61"/>
      <c r="K487" s="61"/>
      <c r="L487" s="61"/>
      <c r="M487" s="61"/>
      <c r="N487" s="61"/>
      <c r="O487" s="61"/>
      <c r="P487" s="61"/>
      <c r="Q487" s="61"/>
      <c r="R487" s="61"/>
      <c r="S487" s="61"/>
      <c r="T487" s="61"/>
      <c r="U487" s="61"/>
      <c r="V487" s="61"/>
      <c r="W487" s="61"/>
      <c r="X487" s="61"/>
      <c r="Y487" s="61"/>
      <c r="Z487" s="61"/>
    </row>
    <row r="488" spans="1:26" ht="13">
      <c r="A488" s="61"/>
      <c r="B488" s="61"/>
      <c r="C488" s="61"/>
      <c r="D488" s="61"/>
      <c r="E488" s="61"/>
      <c r="F488" s="61"/>
      <c r="G488" s="179"/>
      <c r="H488" s="61"/>
      <c r="I488" s="61"/>
      <c r="J488" s="61"/>
      <c r="K488" s="61"/>
      <c r="L488" s="61"/>
      <c r="M488" s="61"/>
      <c r="N488" s="61"/>
      <c r="O488" s="61"/>
      <c r="P488" s="61"/>
      <c r="Q488" s="61"/>
      <c r="R488" s="61"/>
      <c r="S488" s="61"/>
      <c r="T488" s="61"/>
      <c r="U488" s="61"/>
      <c r="V488" s="61"/>
      <c r="W488" s="61"/>
      <c r="X488" s="61"/>
      <c r="Y488" s="61"/>
      <c r="Z488" s="61"/>
    </row>
    <row r="489" spans="1:26" ht="13">
      <c r="A489" s="61"/>
      <c r="B489" s="61"/>
      <c r="C489" s="61"/>
      <c r="D489" s="61"/>
      <c r="E489" s="61"/>
      <c r="F489" s="61"/>
      <c r="G489" s="179"/>
      <c r="H489" s="61"/>
      <c r="I489" s="61"/>
      <c r="J489" s="61"/>
      <c r="K489" s="61"/>
      <c r="L489" s="61"/>
      <c r="M489" s="61"/>
      <c r="N489" s="61"/>
      <c r="O489" s="61"/>
      <c r="P489" s="61"/>
      <c r="Q489" s="61"/>
      <c r="R489" s="61"/>
      <c r="S489" s="61"/>
      <c r="T489" s="61"/>
      <c r="U489" s="61"/>
      <c r="V489" s="61"/>
      <c r="W489" s="61"/>
      <c r="X489" s="61"/>
      <c r="Y489" s="61"/>
      <c r="Z489" s="61"/>
    </row>
    <row r="490" spans="1:26" ht="13">
      <c r="A490" s="61"/>
      <c r="B490" s="61"/>
      <c r="C490" s="61"/>
      <c r="D490" s="61"/>
      <c r="E490" s="61"/>
      <c r="F490" s="61"/>
      <c r="G490" s="179"/>
      <c r="H490" s="61"/>
      <c r="I490" s="61"/>
      <c r="J490" s="61"/>
      <c r="K490" s="61"/>
      <c r="L490" s="61"/>
      <c r="M490" s="61"/>
      <c r="N490" s="61"/>
      <c r="O490" s="61"/>
      <c r="P490" s="61"/>
      <c r="Q490" s="61"/>
      <c r="R490" s="61"/>
      <c r="S490" s="61"/>
      <c r="T490" s="61"/>
      <c r="U490" s="61"/>
      <c r="V490" s="61"/>
      <c r="W490" s="61"/>
      <c r="X490" s="61"/>
      <c r="Y490" s="61"/>
      <c r="Z490" s="61"/>
    </row>
    <row r="491" spans="1:26" ht="13">
      <c r="A491" s="61"/>
      <c r="B491" s="61"/>
      <c r="C491" s="61"/>
      <c r="D491" s="61"/>
      <c r="E491" s="61"/>
      <c r="F491" s="61"/>
      <c r="G491" s="179"/>
      <c r="H491" s="61"/>
      <c r="I491" s="61"/>
      <c r="J491" s="61"/>
      <c r="K491" s="61"/>
      <c r="L491" s="61"/>
      <c r="M491" s="61"/>
      <c r="N491" s="61"/>
      <c r="O491" s="61"/>
      <c r="P491" s="61"/>
      <c r="Q491" s="61"/>
      <c r="R491" s="61"/>
      <c r="S491" s="61"/>
      <c r="T491" s="61"/>
      <c r="U491" s="61"/>
      <c r="V491" s="61"/>
      <c r="W491" s="61"/>
      <c r="X491" s="61"/>
      <c r="Y491" s="61"/>
      <c r="Z491" s="61"/>
    </row>
    <row r="492" spans="1:26" ht="13">
      <c r="A492" s="61"/>
      <c r="B492" s="61"/>
      <c r="C492" s="61"/>
      <c r="D492" s="61"/>
      <c r="E492" s="61"/>
      <c r="F492" s="61"/>
      <c r="G492" s="179"/>
      <c r="H492" s="61"/>
      <c r="I492" s="61"/>
      <c r="J492" s="61"/>
      <c r="K492" s="61"/>
      <c r="L492" s="61"/>
      <c r="M492" s="61"/>
      <c r="N492" s="61"/>
      <c r="O492" s="61"/>
      <c r="P492" s="61"/>
      <c r="Q492" s="61"/>
      <c r="R492" s="61"/>
      <c r="S492" s="61"/>
      <c r="T492" s="61"/>
      <c r="U492" s="61"/>
      <c r="V492" s="61"/>
      <c r="W492" s="61"/>
      <c r="X492" s="61"/>
      <c r="Y492" s="61"/>
      <c r="Z492" s="61"/>
    </row>
    <row r="493" spans="1:26" ht="13">
      <c r="A493" s="61"/>
      <c r="B493" s="61"/>
      <c r="C493" s="61"/>
      <c r="D493" s="61"/>
      <c r="E493" s="61"/>
      <c r="F493" s="61"/>
      <c r="G493" s="179"/>
      <c r="H493" s="61"/>
      <c r="I493" s="61"/>
      <c r="J493" s="61"/>
      <c r="K493" s="61"/>
      <c r="L493" s="61"/>
      <c r="M493" s="61"/>
      <c r="N493" s="61"/>
      <c r="O493" s="61"/>
      <c r="P493" s="61"/>
      <c r="Q493" s="61"/>
      <c r="R493" s="61"/>
      <c r="S493" s="61"/>
      <c r="T493" s="61"/>
      <c r="U493" s="61"/>
      <c r="V493" s="61"/>
      <c r="W493" s="61"/>
      <c r="X493" s="61"/>
      <c r="Y493" s="61"/>
      <c r="Z493" s="61"/>
    </row>
    <row r="494" spans="1:26" ht="13">
      <c r="A494" s="61"/>
      <c r="B494" s="61"/>
      <c r="C494" s="61"/>
      <c r="D494" s="61"/>
      <c r="E494" s="61"/>
      <c r="F494" s="61"/>
      <c r="G494" s="179"/>
      <c r="H494" s="61"/>
      <c r="I494" s="61"/>
      <c r="J494" s="61"/>
      <c r="K494" s="61"/>
      <c r="L494" s="61"/>
      <c r="M494" s="61"/>
      <c r="N494" s="61"/>
      <c r="O494" s="61"/>
      <c r="P494" s="61"/>
      <c r="Q494" s="61"/>
      <c r="R494" s="61"/>
      <c r="S494" s="61"/>
      <c r="T494" s="61"/>
      <c r="U494" s="61"/>
      <c r="V494" s="61"/>
      <c r="W494" s="61"/>
      <c r="X494" s="61"/>
      <c r="Y494" s="61"/>
      <c r="Z494" s="61"/>
    </row>
    <row r="495" spans="1:26" ht="13">
      <c r="A495" s="61"/>
      <c r="B495" s="61"/>
      <c r="C495" s="61"/>
      <c r="D495" s="61"/>
      <c r="E495" s="61"/>
      <c r="F495" s="61"/>
      <c r="G495" s="179"/>
      <c r="H495" s="61"/>
      <c r="I495" s="61"/>
      <c r="J495" s="61"/>
      <c r="K495" s="61"/>
      <c r="L495" s="61"/>
      <c r="M495" s="61"/>
      <c r="N495" s="61"/>
      <c r="O495" s="61"/>
      <c r="P495" s="61"/>
      <c r="Q495" s="61"/>
      <c r="R495" s="61"/>
      <c r="S495" s="61"/>
      <c r="T495" s="61"/>
      <c r="U495" s="61"/>
      <c r="V495" s="61"/>
      <c r="W495" s="61"/>
      <c r="X495" s="61"/>
      <c r="Y495" s="61"/>
      <c r="Z495" s="61"/>
    </row>
    <row r="496" spans="1:26" ht="13">
      <c r="A496" s="61"/>
      <c r="B496" s="61"/>
      <c r="C496" s="61"/>
      <c r="D496" s="61"/>
      <c r="E496" s="61"/>
      <c r="F496" s="61"/>
      <c r="G496" s="179"/>
      <c r="H496" s="61"/>
      <c r="I496" s="61"/>
      <c r="J496" s="61"/>
      <c r="K496" s="61"/>
      <c r="L496" s="61"/>
      <c r="M496" s="61"/>
      <c r="N496" s="61"/>
      <c r="O496" s="61"/>
      <c r="P496" s="61"/>
      <c r="Q496" s="61"/>
      <c r="R496" s="61"/>
      <c r="S496" s="61"/>
      <c r="T496" s="61"/>
      <c r="U496" s="61"/>
      <c r="V496" s="61"/>
      <c r="W496" s="61"/>
      <c r="X496" s="61"/>
      <c r="Y496" s="61"/>
      <c r="Z496" s="61"/>
    </row>
    <row r="497" spans="1:26" ht="13">
      <c r="A497" s="61"/>
      <c r="B497" s="61"/>
      <c r="C497" s="61"/>
      <c r="D497" s="61"/>
      <c r="E497" s="61"/>
      <c r="F497" s="61"/>
      <c r="G497" s="179"/>
      <c r="H497" s="61"/>
      <c r="I497" s="61"/>
      <c r="J497" s="61"/>
      <c r="K497" s="61"/>
      <c r="L497" s="61"/>
      <c r="M497" s="61"/>
      <c r="N497" s="61"/>
      <c r="O497" s="61"/>
      <c r="P497" s="61"/>
      <c r="Q497" s="61"/>
      <c r="R497" s="61"/>
      <c r="S497" s="61"/>
      <c r="T497" s="61"/>
      <c r="U497" s="61"/>
      <c r="V497" s="61"/>
      <c r="W497" s="61"/>
      <c r="X497" s="61"/>
      <c r="Y497" s="61"/>
      <c r="Z497" s="61"/>
    </row>
    <row r="498" spans="1:26" ht="13">
      <c r="A498" s="61"/>
      <c r="B498" s="61"/>
      <c r="C498" s="61"/>
      <c r="D498" s="61"/>
      <c r="E498" s="61"/>
      <c r="F498" s="61"/>
      <c r="G498" s="179"/>
      <c r="H498" s="61"/>
      <c r="I498" s="61"/>
      <c r="J498" s="61"/>
      <c r="K498" s="61"/>
      <c r="L498" s="61"/>
      <c r="M498" s="61"/>
      <c r="N498" s="61"/>
      <c r="O498" s="61"/>
      <c r="P498" s="61"/>
      <c r="Q498" s="61"/>
      <c r="R498" s="61"/>
      <c r="S498" s="61"/>
      <c r="T498" s="61"/>
      <c r="U498" s="61"/>
      <c r="V498" s="61"/>
      <c r="W498" s="61"/>
      <c r="X498" s="61"/>
      <c r="Y498" s="61"/>
      <c r="Z498" s="61"/>
    </row>
    <row r="499" spans="1:26" ht="13">
      <c r="A499" s="61"/>
      <c r="B499" s="61"/>
      <c r="C499" s="61"/>
      <c r="D499" s="61"/>
      <c r="E499" s="61"/>
      <c r="F499" s="61"/>
      <c r="G499" s="179"/>
      <c r="H499" s="61"/>
      <c r="I499" s="61"/>
      <c r="J499" s="61"/>
      <c r="K499" s="61"/>
      <c r="L499" s="61"/>
      <c r="M499" s="61"/>
      <c r="N499" s="61"/>
      <c r="O499" s="61"/>
      <c r="P499" s="61"/>
      <c r="Q499" s="61"/>
      <c r="R499" s="61"/>
      <c r="S499" s="61"/>
      <c r="T499" s="61"/>
      <c r="U499" s="61"/>
      <c r="V499" s="61"/>
      <c r="W499" s="61"/>
      <c r="X499" s="61"/>
      <c r="Y499" s="61"/>
      <c r="Z499" s="61"/>
    </row>
    <row r="500" spans="1:26" ht="13">
      <c r="A500" s="61"/>
      <c r="B500" s="61"/>
      <c r="C500" s="61"/>
      <c r="D500" s="61"/>
      <c r="E500" s="61"/>
      <c r="F500" s="61"/>
      <c r="G500" s="179"/>
      <c r="H500" s="61"/>
      <c r="I500" s="61"/>
      <c r="J500" s="61"/>
      <c r="K500" s="61"/>
      <c r="L500" s="61"/>
      <c r="M500" s="61"/>
      <c r="N500" s="61"/>
      <c r="O500" s="61"/>
      <c r="P500" s="61"/>
      <c r="Q500" s="61"/>
      <c r="R500" s="61"/>
      <c r="S500" s="61"/>
      <c r="T500" s="61"/>
      <c r="U500" s="61"/>
      <c r="V500" s="61"/>
      <c r="W500" s="61"/>
      <c r="X500" s="61"/>
      <c r="Y500" s="61"/>
      <c r="Z500" s="61"/>
    </row>
    <row r="501" spans="1:26" ht="13">
      <c r="A501" s="61"/>
      <c r="B501" s="61"/>
      <c r="C501" s="61"/>
      <c r="D501" s="61"/>
      <c r="E501" s="61"/>
      <c r="F501" s="61"/>
      <c r="G501" s="179"/>
      <c r="H501" s="61"/>
      <c r="I501" s="61"/>
      <c r="J501" s="61"/>
      <c r="K501" s="61"/>
      <c r="L501" s="61"/>
      <c r="M501" s="61"/>
      <c r="N501" s="61"/>
      <c r="O501" s="61"/>
      <c r="P501" s="61"/>
      <c r="Q501" s="61"/>
      <c r="R501" s="61"/>
      <c r="S501" s="61"/>
      <c r="T501" s="61"/>
      <c r="U501" s="61"/>
      <c r="V501" s="61"/>
      <c r="W501" s="61"/>
      <c r="X501" s="61"/>
      <c r="Y501" s="61"/>
      <c r="Z501" s="61"/>
    </row>
    <row r="502" spans="1:26" ht="13">
      <c r="A502" s="61"/>
      <c r="B502" s="61"/>
      <c r="C502" s="61"/>
      <c r="D502" s="61"/>
      <c r="E502" s="61"/>
      <c r="F502" s="61"/>
      <c r="G502" s="179"/>
      <c r="H502" s="61"/>
      <c r="I502" s="61"/>
      <c r="J502" s="61"/>
      <c r="K502" s="61"/>
      <c r="L502" s="61"/>
      <c r="M502" s="61"/>
      <c r="N502" s="61"/>
      <c r="O502" s="61"/>
      <c r="P502" s="61"/>
      <c r="Q502" s="61"/>
      <c r="R502" s="61"/>
      <c r="S502" s="61"/>
      <c r="T502" s="61"/>
      <c r="U502" s="61"/>
      <c r="V502" s="61"/>
      <c r="W502" s="61"/>
      <c r="X502" s="61"/>
      <c r="Y502" s="61"/>
      <c r="Z502" s="61"/>
    </row>
    <row r="503" spans="1:26" ht="13">
      <c r="A503" s="61"/>
      <c r="B503" s="61"/>
      <c r="C503" s="61"/>
      <c r="D503" s="61"/>
      <c r="E503" s="61"/>
      <c r="F503" s="61"/>
      <c r="G503" s="179"/>
      <c r="H503" s="61"/>
      <c r="I503" s="61"/>
      <c r="J503" s="61"/>
      <c r="K503" s="61"/>
      <c r="L503" s="61"/>
      <c r="M503" s="61"/>
      <c r="N503" s="61"/>
      <c r="O503" s="61"/>
      <c r="P503" s="61"/>
      <c r="Q503" s="61"/>
      <c r="R503" s="61"/>
      <c r="S503" s="61"/>
      <c r="T503" s="61"/>
      <c r="U503" s="61"/>
      <c r="V503" s="61"/>
      <c r="W503" s="61"/>
      <c r="X503" s="61"/>
      <c r="Y503" s="61"/>
      <c r="Z503" s="61"/>
    </row>
    <row r="504" spans="1:26" ht="13">
      <c r="A504" s="61"/>
      <c r="B504" s="61"/>
      <c r="C504" s="61"/>
      <c r="D504" s="61"/>
      <c r="E504" s="61"/>
      <c r="F504" s="61"/>
      <c r="G504" s="179"/>
      <c r="H504" s="61"/>
      <c r="I504" s="61"/>
      <c r="J504" s="61"/>
      <c r="K504" s="61"/>
      <c r="L504" s="61"/>
      <c r="M504" s="61"/>
      <c r="N504" s="61"/>
      <c r="O504" s="61"/>
      <c r="P504" s="61"/>
      <c r="Q504" s="61"/>
      <c r="R504" s="61"/>
      <c r="S504" s="61"/>
      <c r="T504" s="61"/>
      <c r="U504" s="61"/>
      <c r="V504" s="61"/>
      <c r="W504" s="61"/>
      <c r="X504" s="61"/>
      <c r="Y504" s="61"/>
      <c r="Z504" s="61"/>
    </row>
    <row r="505" spans="1:26" ht="13">
      <c r="A505" s="61"/>
      <c r="B505" s="61"/>
      <c r="C505" s="61"/>
      <c r="D505" s="61"/>
      <c r="E505" s="61"/>
      <c r="F505" s="61"/>
      <c r="G505" s="179"/>
      <c r="H505" s="61"/>
      <c r="I505" s="61"/>
      <c r="J505" s="61"/>
      <c r="K505" s="61"/>
      <c r="L505" s="61"/>
      <c r="M505" s="61"/>
      <c r="N505" s="61"/>
      <c r="O505" s="61"/>
      <c r="P505" s="61"/>
      <c r="Q505" s="61"/>
      <c r="R505" s="61"/>
      <c r="S505" s="61"/>
      <c r="T505" s="61"/>
      <c r="U505" s="61"/>
      <c r="V505" s="61"/>
      <c r="W505" s="61"/>
      <c r="X505" s="61"/>
      <c r="Y505" s="61"/>
      <c r="Z505" s="61"/>
    </row>
    <row r="506" spans="1:26" ht="13">
      <c r="A506" s="61"/>
      <c r="B506" s="61"/>
      <c r="C506" s="61"/>
      <c r="D506" s="61"/>
      <c r="E506" s="61"/>
      <c r="F506" s="61"/>
      <c r="G506" s="179"/>
      <c r="H506" s="61"/>
      <c r="I506" s="61"/>
      <c r="J506" s="61"/>
      <c r="K506" s="61"/>
      <c r="L506" s="61"/>
      <c r="M506" s="61"/>
      <c r="N506" s="61"/>
      <c r="O506" s="61"/>
      <c r="P506" s="61"/>
      <c r="Q506" s="61"/>
      <c r="R506" s="61"/>
      <c r="S506" s="61"/>
      <c r="T506" s="61"/>
      <c r="U506" s="61"/>
      <c r="V506" s="61"/>
      <c r="W506" s="61"/>
      <c r="X506" s="61"/>
      <c r="Y506" s="61"/>
      <c r="Z506" s="61"/>
    </row>
    <row r="507" spans="1:26" ht="13">
      <c r="A507" s="61"/>
      <c r="B507" s="61"/>
      <c r="C507" s="61"/>
      <c r="D507" s="61"/>
      <c r="E507" s="61"/>
      <c r="F507" s="61"/>
      <c r="G507" s="179"/>
      <c r="H507" s="61"/>
      <c r="I507" s="61"/>
      <c r="J507" s="61"/>
      <c r="K507" s="61"/>
      <c r="L507" s="61"/>
      <c r="M507" s="61"/>
      <c r="N507" s="61"/>
      <c r="O507" s="61"/>
      <c r="P507" s="61"/>
      <c r="Q507" s="61"/>
      <c r="R507" s="61"/>
      <c r="S507" s="61"/>
      <c r="T507" s="61"/>
      <c r="U507" s="61"/>
      <c r="V507" s="61"/>
      <c r="W507" s="61"/>
      <c r="X507" s="61"/>
      <c r="Y507" s="61"/>
      <c r="Z507" s="61"/>
    </row>
    <row r="508" spans="1:26" ht="13">
      <c r="A508" s="61"/>
      <c r="B508" s="61"/>
      <c r="C508" s="61"/>
      <c r="D508" s="61"/>
      <c r="E508" s="61"/>
      <c r="F508" s="61"/>
      <c r="G508" s="179"/>
      <c r="H508" s="61"/>
      <c r="I508" s="61"/>
      <c r="J508" s="61"/>
      <c r="K508" s="61"/>
      <c r="L508" s="61"/>
      <c r="M508" s="61"/>
      <c r="N508" s="61"/>
      <c r="O508" s="61"/>
      <c r="P508" s="61"/>
      <c r="Q508" s="61"/>
      <c r="R508" s="61"/>
      <c r="S508" s="61"/>
      <c r="T508" s="61"/>
      <c r="U508" s="61"/>
      <c r="V508" s="61"/>
      <c r="W508" s="61"/>
      <c r="X508" s="61"/>
      <c r="Y508" s="61"/>
      <c r="Z508" s="61"/>
    </row>
    <row r="509" spans="1:26" ht="13">
      <c r="A509" s="61"/>
      <c r="B509" s="61"/>
      <c r="C509" s="61"/>
      <c r="D509" s="61"/>
      <c r="E509" s="61"/>
      <c r="F509" s="61"/>
      <c r="G509" s="179"/>
      <c r="H509" s="61"/>
      <c r="I509" s="61"/>
      <c r="J509" s="61"/>
      <c r="K509" s="61"/>
      <c r="L509" s="61"/>
      <c r="M509" s="61"/>
      <c r="N509" s="61"/>
      <c r="O509" s="61"/>
      <c r="P509" s="61"/>
      <c r="Q509" s="61"/>
      <c r="R509" s="61"/>
      <c r="S509" s="61"/>
      <c r="T509" s="61"/>
      <c r="U509" s="61"/>
      <c r="V509" s="61"/>
      <c r="W509" s="61"/>
      <c r="X509" s="61"/>
      <c r="Y509" s="61"/>
      <c r="Z509" s="61"/>
    </row>
    <row r="510" spans="1:26" ht="13">
      <c r="A510" s="61"/>
      <c r="B510" s="61"/>
      <c r="C510" s="61"/>
      <c r="D510" s="61"/>
      <c r="E510" s="61"/>
      <c r="F510" s="61"/>
      <c r="G510" s="179"/>
      <c r="H510" s="61"/>
      <c r="I510" s="61"/>
      <c r="J510" s="61"/>
      <c r="K510" s="61"/>
      <c r="L510" s="61"/>
      <c r="M510" s="61"/>
      <c r="N510" s="61"/>
      <c r="O510" s="61"/>
      <c r="P510" s="61"/>
      <c r="Q510" s="61"/>
      <c r="R510" s="61"/>
      <c r="S510" s="61"/>
      <c r="T510" s="61"/>
      <c r="U510" s="61"/>
      <c r="V510" s="61"/>
      <c r="W510" s="61"/>
      <c r="X510" s="61"/>
      <c r="Y510" s="61"/>
      <c r="Z510" s="61"/>
    </row>
    <row r="511" spans="1:26" ht="13">
      <c r="A511" s="61"/>
      <c r="B511" s="61"/>
      <c r="C511" s="61"/>
      <c r="D511" s="61"/>
      <c r="E511" s="61"/>
      <c r="F511" s="61"/>
      <c r="G511" s="179"/>
      <c r="H511" s="61"/>
      <c r="I511" s="61"/>
      <c r="J511" s="61"/>
      <c r="K511" s="61"/>
      <c r="L511" s="61"/>
      <c r="M511" s="61"/>
      <c r="N511" s="61"/>
      <c r="O511" s="61"/>
      <c r="P511" s="61"/>
      <c r="Q511" s="61"/>
      <c r="R511" s="61"/>
      <c r="S511" s="61"/>
      <c r="T511" s="61"/>
      <c r="U511" s="61"/>
      <c r="V511" s="61"/>
      <c r="W511" s="61"/>
      <c r="X511" s="61"/>
      <c r="Y511" s="61"/>
      <c r="Z511" s="61"/>
    </row>
    <row r="512" spans="1:26" ht="13">
      <c r="A512" s="61"/>
      <c r="B512" s="61"/>
      <c r="C512" s="61"/>
      <c r="D512" s="61"/>
      <c r="E512" s="61"/>
      <c r="F512" s="61"/>
      <c r="G512" s="179"/>
      <c r="H512" s="61"/>
      <c r="I512" s="61"/>
      <c r="J512" s="61"/>
      <c r="K512" s="61"/>
      <c r="L512" s="61"/>
      <c r="M512" s="61"/>
      <c r="N512" s="61"/>
      <c r="O512" s="61"/>
      <c r="P512" s="61"/>
      <c r="Q512" s="61"/>
      <c r="R512" s="61"/>
      <c r="S512" s="61"/>
      <c r="T512" s="61"/>
      <c r="U512" s="61"/>
      <c r="V512" s="61"/>
      <c r="W512" s="61"/>
      <c r="X512" s="61"/>
      <c r="Y512" s="61"/>
      <c r="Z512" s="61"/>
    </row>
    <row r="513" spans="1:26" ht="13">
      <c r="A513" s="61"/>
      <c r="B513" s="61"/>
      <c r="C513" s="61"/>
      <c r="D513" s="61"/>
      <c r="E513" s="61"/>
      <c r="F513" s="61"/>
      <c r="G513" s="179"/>
      <c r="H513" s="61"/>
      <c r="I513" s="61"/>
      <c r="J513" s="61"/>
      <c r="K513" s="61"/>
      <c r="L513" s="61"/>
      <c r="M513" s="61"/>
      <c r="N513" s="61"/>
      <c r="O513" s="61"/>
      <c r="P513" s="61"/>
      <c r="Q513" s="61"/>
      <c r="R513" s="61"/>
      <c r="S513" s="61"/>
      <c r="T513" s="61"/>
      <c r="U513" s="61"/>
      <c r="V513" s="61"/>
      <c r="W513" s="61"/>
      <c r="X513" s="61"/>
      <c r="Y513" s="61"/>
      <c r="Z513" s="61"/>
    </row>
    <row r="514" spans="1:26" ht="13">
      <c r="A514" s="61"/>
      <c r="B514" s="61"/>
      <c r="C514" s="61"/>
      <c r="D514" s="61"/>
      <c r="E514" s="61"/>
      <c r="F514" s="61"/>
      <c r="G514" s="179"/>
      <c r="H514" s="61"/>
      <c r="I514" s="61"/>
      <c r="J514" s="61"/>
      <c r="K514" s="61"/>
      <c r="L514" s="61"/>
      <c r="M514" s="61"/>
      <c r="N514" s="61"/>
      <c r="O514" s="61"/>
      <c r="P514" s="61"/>
      <c r="Q514" s="61"/>
      <c r="R514" s="61"/>
      <c r="S514" s="61"/>
      <c r="T514" s="61"/>
      <c r="U514" s="61"/>
      <c r="V514" s="61"/>
      <c r="W514" s="61"/>
      <c r="X514" s="61"/>
      <c r="Y514" s="61"/>
      <c r="Z514" s="61"/>
    </row>
    <row r="515" spans="1:26" ht="13">
      <c r="A515" s="61"/>
      <c r="B515" s="61"/>
      <c r="C515" s="61"/>
      <c r="D515" s="61"/>
      <c r="E515" s="61"/>
      <c r="F515" s="61"/>
      <c r="G515" s="179"/>
      <c r="H515" s="61"/>
      <c r="I515" s="61"/>
      <c r="J515" s="61"/>
      <c r="K515" s="61"/>
      <c r="L515" s="61"/>
      <c r="M515" s="61"/>
      <c r="N515" s="61"/>
      <c r="O515" s="61"/>
      <c r="P515" s="61"/>
      <c r="Q515" s="61"/>
      <c r="R515" s="61"/>
      <c r="S515" s="61"/>
      <c r="T515" s="61"/>
      <c r="U515" s="61"/>
      <c r="V515" s="61"/>
      <c r="W515" s="61"/>
      <c r="X515" s="61"/>
      <c r="Y515" s="61"/>
      <c r="Z515" s="61"/>
    </row>
    <row r="516" spans="1:26" ht="13">
      <c r="A516" s="61"/>
      <c r="B516" s="61"/>
      <c r="C516" s="61"/>
      <c r="D516" s="61"/>
      <c r="E516" s="61"/>
      <c r="F516" s="61"/>
      <c r="G516" s="179"/>
      <c r="H516" s="61"/>
      <c r="I516" s="61"/>
      <c r="J516" s="61"/>
      <c r="K516" s="61"/>
      <c r="L516" s="61"/>
      <c r="M516" s="61"/>
      <c r="N516" s="61"/>
      <c r="O516" s="61"/>
      <c r="P516" s="61"/>
      <c r="Q516" s="61"/>
      <c r="R516" s="61"/>
      <c r="S516" s="61"/>
      <c r="T516" s="61"/>
      <c r="U516" s="61"/>
      <c r="V516" s="61"/>
      <c r="W516" s="61"/>
      <c r="X516" s="61"/>
      <c r="Y516" s="61"/>
      <c r="Z516" s="61"/>
    </row>
    <row r="517" spans="1:26" ht="13">
      <c r="A517" s="61"/>
      <c r="B517" s="61"/>
      <c r="C517" s="61"/>
      <c r="D517" s="61"/>
      <c r="E517" s="61"/>
      <c r="F517" s="61"/>
      <c r="G517" s="179"/>
      <c r="H517" s="61"/>
      <c r="I517" s="61"/>
      <c r="J517" s="61"/>
      <c r="K517" s="61"/>
      <c r="L517" s="61"/>
      <c r="M517" s="61"/>
      <c r="N517" s="61"/>
      <c r="O517" s="61"/>
      <c r="P517" s="61"/>
      <c r="Q517" s="61"/>
      <c r="R517" s="61"/>
      <c r="S517" s="61"/>
      <c r="T517" s="61"/>
      <c r="U517" s="61"/>
      <c r="V517" s="61"/>
      <c r="W517" s="61"/>
      <c r="X517" s="61"/>
      <c r="Y517" s="61"/>
      <c r="Z517" s="61"/>
    </row>
    <row r="518" spans="1:26" ht="13">
      <c r="A518" s="61"/>
      <c r="B518" s="61"/>
      <c r="C518" s="61"/>
      <c r="D518" s="61"/>
      <c r="E518" s="61"/>
      <c r="F518" s="61"/>
      <c r="G518" s="179"/>
      <c r="H518" s="61"/>
      <c r="I518" s="61"/>
      <c r="J518" s="61"/>
      <c r="K518" s="61"/>
      <c r="L518" s="61"/>
      <c r="M518" s="61"/>
      <c r="N518" s="61"/>
      <c r="O518" s="61"/>
      <c r="P518" s="61"/>
      <c r="Q518" s="61"/>
      <c r="R518" s="61"/>
      <c r="S518" s="61"/>
      <c r="T518" s="61"/>
      <c r="U518" s="61"/>
      <c r="V518" s="61"/>
      <c r="W518" s="61"/>
      <c r="X518" s="61"/>
      <c r="Y518" s="61"/>
      <c r="Z518" s="61"/>
    </row>
    <row r="519" spans="1:26" ht="13">
      <c r="A519" s="61"/>
      <c r="B519" s="61"/>
      <c r="C519" s="61"/>
      <c r="D519" s="61"/>
      <c r="E519" s="61"/>
      <c r="F519" s="61"/>
      <c r="G519" s="179"/>
      <c r="H519" s="61"/>
      <c r="I519" s="61"/>
      <c r="J519" s="61"/>
      <c r="K519" s="61"/>
      <c r="L519" s="61"/>
      <c r="M519" s="61"/>
      <c r="N519" s="61"/>
      <c r="O519" s="61"/>
      <c r="P519" s="61"/>
      <c r="Q519" s="61"/>
      <c r="R519" s="61"/>
      <c r="S519" s="61"/>
      <c r="T519" s="61"/>
      <c r="U519" s="61"/>
      <c r="V519" s="61"/>
      <c r="W519" s="61"/>
      <c r="X519" s="61"/>
      <c r="Y519" s="61"/>
      <c r="Z519" s="61"/>
    </row>
    <row r="520" spans="1:26" ht="13">
      <c r="A520" s="61"/>
      <c r="B520" s="61"/>
      <c r="C520" s="61"/>
      <c r="D520" s="61"/>
      <c r="E520" s="61"/>
      <c r="F520" s="61"/>
      <c r="G520" s="179"/>
      <c r="H520" s="61"/>
      <c r="I520" s="61"/>
      <c r="J520" s="61"/>
      <c r="K520" s="61"/>
      <c r="L520" s="61"/>
      <c r="M520" s="61"/>
      <c r="N520" s="61"/>
      <c r="O520" s="61"/>
      <c r="P520" s="61"/>
      <c r="Q520" s="61"/>
      <c r="R520" s="61"/>
      <c r="S520" s="61"/>
      <c r="T520" s="61"/>
      <c r="U520" s="61"/>
      <c r="V520" s="61"/>
      <c r="W520" s="61"/>
      <c r="X520" s="61"/>
      <c r="Y520" s="61"/>
      <c r="Z520" s="61"/>
    </row>
    <row r="521" spans="1:26" ht="13">
      <c r="A521" s="61"/>
      <c r="B521" s="61"/>
      <c r="C521" s="61"/>
      <c r="D521" s="61"/>
      <c r="E521" s="61"/>
      <c r="F521" s="61"/>
      <c r="G521" s="179"/>
      <c r="H521" s="61"/>
      <c r="I521" s="61"/>
      <c r="J521" s="61"/>
      <c r="K521" s="61"/>
      <c r="L521" s="61"/>
      <c r="M521" s="61"/>
      <c r="N521" s="61"/>
      <c r="O521" s="61"/>
      <c r="P521" s="61"/>
      <c r="Q521" s="61"/>
      <c r="R521" s="61"/>
      <c r="S521" s="61"/>
      <c r="T521" s="61"/>
      <c r="U521" s="61"/>
      <c r="V521" s="61"/>
      <c r="W521" s="61"/>
      <c r="X521" s="61"/>
      <c r="Y521" s="61"/>
      <c r="Z521" s="61"/>
    </row>
    <row r="522" spans="1:26" ht="13">
      <c r="A522" s="61"/>
      <c r="B522" s="61"/>
      <c r="C522" s="61"/>
      <c r="D522" s="61"/>
      <c r="E522" s="61"/>
      <c r="F522" s="61"/>
      <c r="G522" s="179"/>
      <c r="H522" s="61"/>
      <c r="I522" s="61"/>
      <c r="J522" s="61"/>
      <c r="K522" s="61"/>
      <c r="L522" s="61"/>
      <c r="M522" s="61"/>
      <c r="N522" s="61"/>
      <c r="O522" s="61"/>
      <c r="P522" s="61"/>
      <c r="Q522" s="61"/>
      <c r="R522" s="61"/>
      <c r="S522" s="61"/>
      <c r="T522" s="61"/>
      <c r="U522" s="61"/>
      <c r="V522" s="61"/>
      <c r="W522" s="61"/>
      <c r="X522" s="61"/>
      <c r="Y522" s="61"/>
      <c r="Z522" s="61"/>
    </row>
    <row r="523" spans="1:26" ht="13">
      <c r="A523" s="61"/>
      <c r="B523" s="61"/>
      <c r="C523" s="61"/>
      <c r="D523" s="61"/>
      <c r="E523" s="61"/>
      <c r="F523" s="61"/>
      <c r="G523" s="179"/>
      <c r="H523" s="61"/>
      <c r="I523" s="61"/>
      <c r="J523" s="61"/>
      <c r="K523" s="61"/>
      <c r="L523" s="61"/>
      <c r="M523" s="61"/>
      <c r="N523" s="61"/>
      <c r="O523" s="61"/>
      <c r="P523" s="61"/>
      <c r="Q523" s="61"/>
      <c r="R523" s="61"/>
      <c r="S523" s="61"/>
      <c r="T523" s="61"/>
      <c r="U523" s="61"/>
      <c r="V523" s="61"/>
      <c r="W523" s="61"/>
      <c r="X523" s="61"/>
      <c r="Y523" s="61"/>
      <c r="Z523" s="61"/>
    </row>
    <row r="524" spans="1:26" ht="13">
      <c r="A524" s="61"/>
      <c r="B524" s="61"/>
      <c r="C524" s="61"/>
      <c r="D524" s="61"/>
      <c r="E524" s="61"/>
      <c r="F524" s="61"/>
      <c r="G524" s="179"/>
      <c r="H524" s="61"/>
      <c r="I524" s="61"/>
      <c r="J524" s="61"/>
      <c r="K524" s="61"/>
      <c r="L524" s="61"/>
      <c r="M524" s="61"/>
      <c r="N524" s="61"/>
      <c r="O524" s="61"/>
      <c r="P524" s="61"/>
      <c r="Q524" s="61"/>
      <c r="R524" s="61"/>
      <c r="S524" s="61"/>
      <c r="T524" s="61"/>
      <c r="U524" s="61"/>
      <c r="V524" s="61"/>
      <c r="W524" s="61"/>
      <c r="X524" s="61"/>
      <c r="Y524" s="61"/>
      <c r="Z524" s="61"/>
    </row>
    <row r="525" spans="1:26" ht="13">
      <c r="A525" s="61"/>
      <c r="B525" s="61"/>
      <c r="C525" s="61"/>
      <c r="D525" s="61"/>
      <c r="E525" s="61"/>
      <c r="F525" s="61"/>
      <c r="G525" s="179"/>
      <c r="H525" s="61"/>
      <c r="I525" s="61"/>
      <c r="J525" s="61"/>
      <c r="K525" s="61"/>
      <c r="L525" s="61"/>
      <c r="M525" s="61"/>
      <c r="N525" s="61"/>
      <c r="O525" s="61"/>
      <c r="P525" s="61"/>
      <c r="Q525" s="61"/>
      <c r="R525" s="61"/>
      <c r="S525" s="61"/>
      <c r="T525" s="61"/>
      <c r="U525" s="61"/>
      <c r="V525" s="61"/>
      <c r="W525" s="61"/>
      <c r="X525" s="61"/>
      <c r="Y525" s="61"/>
      <c r="Z525" s="61"/>
    </row>
    <row r="526" spans="1:26" ht="13">
      <c r="A526" s="61"/>
      <c r="B526" s="61"/>
      <c r="C526" s="61"/>
      <c r="D526" s="61"/>
      <c r="E526" s="61"/>
      <c r="F526" s="61"/>
      <c r="G526" s="179"/>
      <c r="H526" s="61"/>
      <c r="I526" s="61"/>
      <c r="J526" s="61"/>
      <c r="K526" s="61"/>
      <c r="L526" s="61"/>
      <c r="M526" s="61"/>
      <c r="N526" s="61"/>
      <c r="O526" s="61"/>
      <c r="P526" s="61"/>
      <c r="Q526" s="61"/>
      <c r="R526" s="61"/>
      <c r="S526" s="61"/>
      <c r="T526" s="61"/>
      <c r="U526" s="61"/>
      <c r="V526" s="61"/>
      <c r="W526" s="61"/>
      <c r="X526" s="61"/>
      <c r="Y526" s="61"/>
      <c r="Z526" s="61"/>
    </row>
    <row r="527" spans="1:26" ht="13">
      <c r="A527" s="61"/>
      <c r="B527" s="61"/>
      <c r="C527" s="61"/>
      <c r="D527" s="61"/>
      <c r="E527" s="61"/>
      <c r="F527" s="61"/>
      <c r="G527" s="179"/>
      <c r="H527" s="61"/>
      <c r="I527" s="61"/>
      <c r="J527" s="61"/>
      <c r="K527" s="61"/>
      <c r="L527" s="61"/>
      <c r="M527" s="61"/>
      <c r="N527" s="61"/>
      <c r="O527" s="61"/>
      <c r="P527" s="61"/>
      <c r="Q527" s="61"/>
      <c r="R527" s="61"/>
      <c r="S527" s="61"/>
      <c r="T527" s="61"/>
      <c r="U527" s="61"/>
      <c r="V527" s="61"/>
      <c r="W527" s="61"/>
      <c r="X527" s="61"/>
      <c r="Y527" s="61"/>
      <c r="Z527" s="61"/>
    </row>
    <row r="528" spans="1:26" ht="13">
      <c r="A528" s="61"/>
      <c r="B528" s="61"/>
      <c r="C528" s="61"/>
      <c r="D528" s="61"/>
      <c r="E528" s="61"/>
      <c r="F528" s="61"/>
      <c r="G528" s="179"/>
      <c r="H528" s="61"/>
      <c r="I528" s="61"/>
      <c r="J528" s="61"/>
      <c r="K528" s="61"/>
      <c r="L528" s="61"/>
      <c r="M528" s="61"/>
      <c r="N528" s="61"/>
      <c r="O528" s="61"/>
      <c r="P528" s="61"/>
      <c r="Q528" s="61"/>
      <c r="R528" s="61"/>
      <c r="S528" s="61"/>
      <c r="T528" s="61"/>
      <c r="U528" s="61"/>
      <c r="V528" s="61"/>
      <c r="W528" s="61"/>
      <c r="X528" s="61"/>
      <c r="Y528" s="61"/>
      <c r="Z528" s="61"/>
    </row>
    <row r="529" spans="1:26" ht="13">
      <c r="A529" s="61"/>
      <c r="B529" s="61"/>
      <c r="C529" s="61"/>
      <c r="D529" s="61"/>
      <c r="E529" s="61"/>
      <c r="F529" s="61"/>
      <c r="G529" s="179"/>
      <c r="H529" s="61"/>
      <c r="I529" s="61"/>
      <c r="J529" s="61"/>
      <c r="K529" s="61"/>
      <c r="L529" s="61"/>
      <c r="M529" s="61"/>
      <c r="N529" s="61"/>
      <c r="O529" s="61"/>
      <c r="P529" s="61"/>
      <c r="Q529" s="61"/>
      <c r="R529" s="61"/>
      <c r="S529" s="61"/>
      <c r="T529" s="61"/>
      <c r="U529" s="61"/>
      <c r="V529" s="61"/>
      <c r="W529" s="61"/>
      <c r="X529" s="61"/>
      <c r="Y529" s="61"/>
      <c r="Z529" s="61"/>
    </row>
    <row r="530" spans="1:26" ht="13">
      <c r="A530" s="61"/>
      <c r="B530" s="61"/>
      <c r="C530" s="61"/>
      <c r="D530" s="61"/>
      <c r="E530" s="61"/>
      <c r="F530" s="61"/>
      <c r="G530" s="179"/>
      <c r="H530" s="61"/>
      <c r="I530" s="61"/>
      <c r="J530" s="61"/>
      <c r="K530" s="61"/>
      <c r="L530" s="61"/>
      <c r="M530" s="61"/>
      <c r="N530" s="61"/>
      <c r="O530" s="61"/>
      <c r="P530" s="61"/>
      <c r="Q530" s="61"/>
      <c r="R530" s="61"/>
      <c r="S530" s="61"/>
      <c r="T530" s="61"/>
      <c r="U530" s="61"/>
      <c r="V530" s="61"/>
      <c r="W530" s="61"/>
      <c r="X530" s="61"/>
      <c r="Y530" s="61"/>
      <c r="Z530" s="61"/>
    </row>
    <row r="531" spans="1:26" ht="13">
      <c r="A531" s="61"/>
      <c r="B531" s="61"/>
      <c r="C531" s="61"/>
      <c r="D531" s="61"/>
      <c r="E531" s="61"/>
      <c r="F531" s="61"/>
      <c r="G531" s="179"/>
      <c r="H531" s="61"/>
      <c r="I531" s="61"/>
      <c r="J531" s="61"/>
      <c r="K531" s="61"/>
      <c r="L531" s="61"/>
      <c r="M531" s="61"/>
      <c r="N531" s="61"/>
      <c r="O531" s="61"/>
      <c r="P531" s="61"/>
      <c r="Q531" s="61"/>
      <c r="R531" s="61"/>
      <c r="S531" s="61"/>
      <c r="T531" s="61"/>
      <c r="U531" s="61"/>
      <c r="V531" s="61"/>
      <c r="W531" s="61"/>
      <c r="X531" s="61"/>
      <c r="Y531" s="61"/>
      <c r="Z531" s="61"/>
    </row>
    <row r="532" spans="1:26" ht="13">
      <c r="A532" s="61"/>
      <c r="B532" s="61"/>
      <c r="C532" s="61"/>
      <c r="D532" s="61"/>
      <c r="E532" s="61"/>
      <c r="F532" s="61"/>
      <c r="G532" s="179"/>
      <c r="H532" s="61"/>
      <c r="I532" s="61"/>
      <c r="J532" s="61"/>
      <c r="K532" s="61"/>
      <c r="L532" s="61"/>
      <c r="M532" s="61"/>
      <c r="N532" s="61"/>
      <c r="O532" s="61"/>
      <c r="P532" s="61"/>
      <c r="Q532" s="61"/>
      <c r="R532" s="61"/>
      <c r="S532" s="61"/>
      <c r="T532" s="61"/>
      <c r="U532" s="61"/>
      <c r="V532" s="61"/>
      <c r="W532" s="61"/>
      <c r="X532" s="61"/>
      <c r="Y532" s="61"/>
      <c r="Z532" s="61"/>
    </row>
    <row r="533" spans="1:26" ht="13">
      <c r="A533" s="61"/>
      <c r="B533" s="61"/>
      <c r="C533" s="61"/>
      <c r="D533" s="61"/>
      <c r="E533" s="61"/>
      <c r="F533" s="61"/>
      <c r="G533" s="179"/>
      <c r="H533" s="61"/>
      <c r="I533" s="61"/>
      <c r="J533" s="61"/>
      <c r="K533" s="61"/>
      <c r="L533" s="61"/>
      <c r="M533" s="61"/>
      <c r="N533" s="61"/>
      <c r="O533" s="61"/>
      <c r="P533" s="61"/>
      <c r="Q533" s="61"/>
      <c r="R533" s="61"/>
      <c r="S533" s="61"/>
      <c r="T533" s="61"/>
      <c r="U533" s="61"/>
      <c r="V533" s="61"/>
      <c r="W533" s="61"/>
      <c r="X533" s="61"/>
      <c r="Y533" s="61"/>
      <c r="Z533" s="61"/>
    </row>
    <row r="534" spans="1:26" ht="13">
      <c r="A534" s="61"/>
      <c r="B534" s="61"/>
      <c r="C534" s="61"/>
      <c r="D534" s="61"/>
      <c r="E534" s="61"/>
      <c r="F534" s="61"/>
      <c r="G534" s="179"/>
      <c r="H534" s="61"/>
      <c r="I534" s="61"/>
      <c r="J534" s="61"/>
      <c r="K534" s="61"/>
      <c r="L534" s="61"/>
      <c r="M534" s="61"/>
      <c r="N534" s="61"/>
      <c r="O534" s="61"/>
      <c r="P534" s="61"/>
      <c r="Q534" s="61"/>
      <c r="R534" s="61"/>
      <c r="S534" s="61"/>
      <c r="T534" s="61"/>
      <c r="U534" s="61"/>
      <c r="V534" s="61"/>
      <c r="W534" s="61"/>
      <c r="X534" s="61"/>
      <c r="Y534" s="61"/>
      <c r="Z534" s="61"/>
    </row>
    <row r="535" spans="1:26" ht="13">
      <c r="A535" s="61"/>
      <c r="B535" s="61"/>
      <c r="C535" s="61"/>
      <c r="D535" s="61"/>
      <c r="E535" s="61"/>
      <c r="F535" s="61"/>
      <c r="G535" s="179"/>
      <c r="H535" s="61"/>
      <c r="I535" s="61"/>
      <c r="J535" s="61"/>
      <c r="K535" s="61"/>
      <c r="L535" s="61"/>
      <c r="M535" s="61"/>
      <c r="N535" s="61"/>
      <c r="O535" s="61"/>
      <c r="P535" s="61"/>
      <c r="Q535" s="61"/>
      <c r="R535" s="61"/>
      <c r="S535" s="61"/>
      <c r="T535" s="61"/>
      <c r="U535" s="61"/>
      <c r="V535" s="61"/>
      <c r="W535" s="61"/>
      <c r="X535" s="61"/>
      <c r="Y535" s="61"/>
      <c r="Z535" s="61"/>
    </row>
    <row r="536" spans="1:26" ht="13">
      <c r="A536" s="61"/>
      <c r="B536" s="61"/>
      <c r="C536" s="61"/>
      <c r="D536" s="61"/>
      <c r="E536" s="61"/>
      <c r="F536" s="61"/>
      <c r="G536" s="179"/>
      <c r="H536" s="61"/>
      <c r="I536" s="61"/>
      <c r="J536" s="61"/>
      <c r="K536" s="61"/>
      <c r="L536" s="61"/>
      <c r="M536" s="61"/>
      <c r="N536" s="61"/>
      <c r="O536" s="61"/>
      <c r="P536" s="61"/>
      <c r="Q536" s="61"/>
      <c r="R536" s="61"/>
      <c r="S536" s="61"/>
      <c r="T536" s="61"/>
      <c r="U536" s="61"/>
      <c r="V536" s="61"/>
      <c r="W536" s="61"/>
      <c r="X536" s="61"/>
      <c r="Y536" s="61"/>
      <c r="Z536" s="61"/>
    </row>
    <row r="537" spans="1:26" ht="13">
      <c r="A537" s="61"/>
      <c r="B537" s="61"/>
      <c r="C537" s="61"/>
      <c r="D537" s="61"/>
      <c r="E537" s="61"/>
      <c r="F537" s="61"/>
      <c r="G537" s="179"/>
      <c r="H537" s="61"/>
      <c r="I537" s="61"/>
      <c r="J537" s="61"/>
      <c r="K537" s="61"/>
      <c r="L537" s="61"/>
      <c r="M537" s="61"/>
      <c r="N537" s="61"/>
      <c r="O537" s="61"/>
      <c r="P537" s="61"/>
      <c r="Q537" s="61"/>
      <c r="R537" s="61"/>
      <c r="S537" s="61"/>
      <c r="T537" s="61"/>
      <c r="U537" s="61"/>
      <c r="V537" s="61"/>
      <c r="W537" s="61"/>
      <c r="X537" s="61"/>
      <c r="Y537" s="61"/>
      <c r="Z537" s="61"/>
    </row>
    <row r="538" spans="1:26" ht="13">
      <c r="A538" s="61"/>
      <c r="B538" s="61"/>
      <c r="C538" s="61"/>
      <c r="D538" s="61"/>
      <c r="E538" s="61"/>
      <c r="F538" s="61"/>
      <c r="G538" s="179"/>
      <c r="H538" s="61"/>
      <c r="I538" s="61"/>
      <c r="J538" s="61"/>
      <c r="K538" s="61"/>
      <c r="L538" s="61"/>
      <c r="M538" s="61"/>
      <c r="N538" s="61"/>
      <c r="O538" s="61"/>
      <c r="P538" s="61"/>
      <c r="Q538" s="61"/>
      <c r="R538" s="61"/>
      <c r="S538" s="61"/>
      <c r="T538" s="61"/>
      <c r="U538" s="61"/>
      <c r="V538" s="61"/>
      <c r="W538" s="61"/>
      <c r="X538" s="61"/>
      <c r="Y538" s="61"/>
      <c r="Z538" s="61"/>
    </row>
    <row r="539" spans="1:26" ht="13">
      <c r="A539" s="61"/>
      <c r="B539" s="61"/>
      <c r="C539" s="61"/>
      <c r="D539" s="61"/>
      <c r="E539" s="61"/>
      <c r="F539" s="61"/>
      <c r="G539" s="179"/>
      <c r="H539" s="61"/>
      <c r="I539" s="61"/>
      <c r="J539" s="61"/>
      <c r="K539" s="61"/>
      <c r="L539" s="61"/>
      <c r="M539" s="61"/>
      <c r="N539" s="61"/>
      <c r="O539" s="61"/>
      <c r="P539" s="61"/>
      <c r="Q539" s="61"/>
      <c r="R539" s="61"/>
      <c r="S539" s="61"/>
      <c r="T539" s="61"/>
      <c r="U539" s="61"/>
      <c r="V539" s="61"/>
      <c r="W539" s="61"/>
      <c r="X539" s="61"/>
      <c r="Y539" s="61"/>
      <c r="Z539" s="61"/>
    </row>
    <row r="540" spans="1:26" ht="13">
      <c r="A540" s="61"/>
      <c r="B540" s="61"/>
      <c r="C540" s="61"/>
      <c r="D540" s="61"/>
      <c r="E540" s="61"/>
      <c r="F540" s="61"/>
      <c r="G540" s="179"/>
      <c r="H540" s="61"/>
      <c r="I540" s="61"/>
      <c r="J540" s="61"/>
      <c r="K540" s="61"/>
      <c r="L540" s="61"/>
      <c r="M540" s="61"/>
      <c r="N540" s="61"/>
      <c r="O540" s="61"/>
      <c r="P540" s="61"/>
      <c r="Q540" s="61"/>
      <c r="R540" s="61"/>
      <c r="S540" s="61"/>
      <c r="T540" s="61"/>
      <c r="U540" s="61"/>
      <c r="V540" s="61"/>
      <c r="W540" s="61"/>
      <c r="X540" s="61"/>
      <c r="Y540" s="61"/>
      <c r="Z540" s="61"/>
    </row>
    <row r="541" spans="1:26" ht="13">
      <c r="A541" s="61"/>
      <c r="B541" s="61"/>
      <c r="C541" s="61"/>
      <c r="D541" s="61"/>
      <c r="E541" s="61"/>
      <c r="F541" s="61"/>
      <c r="G541" s="179"/>
      <c r="H541" s="61"/>
      <c r="I541" s="61"/>
      <c r="J541" s="61"/>
      <c r="K541" s="61"/>
      <c r="L541" s="61"/>
      <c r="M541" s="61"/>
      <c r="N541" s="61"/>
      <c r="O541" s="61"/>
      <c r="P541" s="61"/>
      <c r="Q541" s="61"/>
      <c r="R541" s="61"/>
      <c r="S541" s="61"/>
      <c r="T541" s="61"/>
      <c r="U541" s="61"/>
      <c r="V541" s="61"/>
      <c r="W541" s="61"/>
      <c r="X541" s="61"/>
      <c r="Y541" s="61"/>
      <c r="Z541" s="61"/>
    </row>
    <row r="542" spans="1:26" ht="13">
      <c r="A542" s="61"/>
      <c r="B542" s="61"/>
      <c r="C542" s="61"/>
      <c r="D542" s="61"/>
      <c r="E542" s="61"/>
      <c r="F542" s="61"/>
      <c r="G542" s="179"/>
      <c r="H542" s="61"/>
      <c r="I542" s="61"/>
      <c r="J542" s="61"/>
      <c r="K542" s="61"/>
      <c r="L542" s="61"/>
      <c r="M542" s="61"/>
      <c r="N542" s="61"/>
      <c r="O542" s="61"/>
      <c r="P542" s="61"/>
      <c r="Q542" s="61"/>
      <c r="R542" s="61"/>
      <c r="S542" s="61"/>
      <c r="T542" s="61"/>
      <c r="U542" s="61"/>
      <c r="V542" s="61"/>
      <c r="W542" s="61"/>
      <c r="X542" s="61"/>
      <c r="Y542" s="61"/>
      <c r="Z542" s="61"/>
    </row>
    <row r="543" spans="1:26" ht="13">
      <c r="A543" s="61"/>
      <c r="B543" s="61"/>
      <c r="C543" s="61"/>
      <c r="D543" s="61"/>
      <c r="E543" s="61"/>
      <c r="F543" s="61"/>
      <c r="G543" s="179"/>
      <c r="H543" s="61"/>
      <c r="I543" s="61"/>
      <c r="J543" s="61"/>
      <c r="K543" s="61"/>
      <c r="L543" s="61"/>
      <c r="M543" s="61"/>
      <c r="N543" s="61"/>
      <c r="O543" s="61"/>
      <c r="P543" s="61"/>
      <c r="Q543" s="61"/>
      <c r="R543" s="61"/>
      <c r="S543" s="61"/>
      <c r="T543" s="61"/>
      <c r="U543" s="61"/>
      <c r="V543" s="61"/>
      <c r="W543" s="61"/>
      <c r="X543" s="61"/>
      <c r="Y543" s="61"/>
      <c r="Z543" s="61"/>
    </row>
    <row r="544" spans="1:26" ht="13">
      <c r="A544" s="61"/>
      <c r="B544" s="61"/>
      <c r="C544" s="61"/>
      <c r="D544" s="61"/>
      <c r="E544" s="61"/>
      <c r="F544" s="61"/>
      <c r="G544" s="179"/>
      <c r="H544" s="61"/>
      <c r="I544" s="61"/>
      <c r="J544" s="61"/>
      <c r="K544" s="61"/>
      <c r="L544" s="61"/>
      <c r="M544" s="61"/>
      <c r="N544" s="61"/>
      <c r="O544" s="61"/>
      <c r="P544" s="61"/>
      <c r="Q544" s="61"/>
      <c r="R544" s="61"/>
      <c r="S544" s="61"/>
      <c r="T544" s="61"/>
      <c r="U544" s="61"/>
      <c r="V544" s="61"/>
      <c r="W544" s="61"/>
      <c r="X544" s="61"/>
      <c r="Y544" s="61"/>
      <c r="Z544" s="61"/>
    </row>
    <row r="545" spans="1:26" ht="13">
      <c r="A545" s="61"/>
      <c r="B545" s="61"/>
      <c r="C545" s="61"/>
      <c r="D545" s="61"/>
      <c r="E545" s="61"/>
      <c r="F545" s="61"/>
      <c r="G545" s="179"/>
      <c r="H545" s="61"/>
      <c r="I545" s="61"/>
      <c r="J545" s="61"/>
      <c r="K545" s="61"/>
      <c r="L545" s="61"/>
      <c r="M545" s="61"/>
      <c r="N545" s="61"/>
      <c r="O545" s="61"/>
      <c r="P545" s="61"/>
      <c r="Q545" s="61"/>
      <c r="R545" s="61"/>
      <c r="S545" s="61"/>
      <c r="T545" s="61"/>
      <c r="U545" s="61"/>
      <c r="V545" s="61"/>
      <c r="W545" s="61"/>
      <c r="X545" s="61"/>
      <c r="Y545" s="61"/>
      <c r="Z545" s="61"/>
    </row>
    <row r="546" spans="1:26" ht="13">
      <c r="A546" s="61"/>
      <c r="B546" s="61"/>
      <c r="C546" s="61"/>
      <c r="D546" s="61"/>
      <c r="E546" s="61"/>
      <c r="F546" s="61"/>
      <c r="G546" s="179"/>
      <c r="H546" s="61"/>
      <c r="I546" s="61"/>
      <c r="J546" s="61"/>
      <c r="K546" s="61"/>
      <c r="L546" s="61"/>
      <c r="M546" s="61"/>
      <c r="N546" s="61"/>
      <c r="O546" s="61"/>
      <c r="P546" s="61"/>
      <c r="Q546" s="61"/>
      <c r="R546" s="61"/>
      <c r="S546" s="61"/>
      <c r="T546" s="61"/>
      <c r="U546" s="61"/>
      <c r="V546" s="61"/>
      <c r="W546" s="61"/>
      <c r="X546" s="61"/>
      <c r="Y546" s="61"/>
      <c r="Z546" s="61"/>
    </row>
    <row r="547" spans="1:26" ht="13">
      <c r="A547" s="61"/>
      <c r="B547" s="61"/>
      <c r="C547" s="61"/>
      <c r="D547" s="61"/>
      <c r="E547" s="61"/>
      <c r="F547" s="61"/>
      <c r="G547" s="179"/>
      <c r="H547" s="61"/>
      <c r="I547" s="61"/>
      <c r="J547" s="61"/>
      <c r="K547" s="61"/>
      <c r="L547" s="61"/>
      <c r="M547" s="61"/>
      <c r="N547" s="61"/>
      <c r="O547" s="61"/>
      <c r="P547" s="61"/>
      <c r="Q547" s="61"/>
      <c r="R547" s="61"/>
      <c r="S547" s="61"/>
      <c r="T547" s="61"/>
      <c r="U547" s="61"/>
      <c r="V547" s="61"/>
      <c r="W547" s="61"/>
      <c r="X547" s="61"/>
      <c r="Y547" s="61"/>
      <c r="Z547" s="61"/>
    </row>
    <row r="548" spans="1:26" ht="13">
      <c r="A548" s="61"/>
      <c r="B548" s="61"/>
      <c r="C548" s="61"/>
      <c r="D548" s="61"/>
      <c r="E548" s="61"/>
      <c r="F548" s="61"/>
      <c r="G548" s="179"/>
      <c r="H548" s="61"/>
      <c r="I548" s="61"/>
      <c r="J548" s="61"/>
      <c r="K548" s="61"/>
      <c r="L548" s="61"/>
      <c r="M548" s="61"/>
      <c r="N548" s="61"/>
      <c r="O548" s="61"/>
      <c r="P548" s="61"/>
      <c r="Q548" s="61"/>
      <c r="R548" s="61"/>
      <c r="S548" s="61"/>
      <c r="T548" s="61"/>
      <c r="U548" s="61"/>
      <c r="V548" s="61"/>
      <c r="W548" s="61"/>
      <c r="X548" s="61"/>
      <c r="Y548" s="61"/>
      <c r="Z548" s="61"/>
    </row>
    <row r="549" spans="1:26" ht="13">
      <c r="A549" s="61"/>
      <c r="B549" s="61"/>
      <c r="C549" s="61"/>
      <c r="D549" s="61"/>
      <c r="E549" s="61"/>
      <c r="F549" s="61"/>
      <c r="G549" s="179"/>
      <c r="H549" s="61"/>
      <c r="I549" s="61"/>
      <c r="J549" s="61"/>
      <c r="K549" s="61"/>
      <c r="L549" s="61"/>
      <c r="M549" s="61"/>
      <c r="N549" s="61"/>
      <c r="O549" s="61"/>
      <c r="P549" s="61"/>
      <c r="Q549" s="61"/>
      <c r="R549" s="61"/>
      <c r="S549" s="61"/>
      <c r="T549" s="61"/>
      <c r="U549" s="61"/>
      <c r="V549" s="61"/>
      <c r="W549" s="61"/>
      <c r="X549" s="61"/>
      <c r="Y549" s="61"/>
      <c r="Z549" s="61"/>
    </row>
    <row r="550" spans="1:26" ht="13">
      <c r="A550" s="61"/>
      <c r="B550" s="61"/>
      <c r="C550" s="61"/>
      <c r="D550" s="61"/>
      <c r="E550" s="61"/>
      <c r="F550" s="61"/>
      <c r="G550" s="179"/>
      <c r="H550" s="61"/>
      <c r="I550" s="61"/>
      <c r="J550" s="61"/>
      <c r="K550" s="61"/>
      <c r="L550" s="61"/>
      <c r="M550" s="61"/>
      <c r="N550" s="61"/>
      <c r="O550" s="61"/>
      <c r="P550" s="61"/>
      <c r="Q550" s="61"/>
      <c r="R550" s="61"/>
      <c r="S550" s="61"/>
      <c r="T550" s="61"/>
      <c r="U550" s="61"/>
      <c r="V550" s="61"/>
      <c r="W550" s="61"/>
      <c r="X550" s="61"/>
      <c r="Y550" s="61"/>
      <c r="Z550" s="61"/>
    </row>
    <row r="551" spans="1:26" ht="13">
      <c r="A551" s="61"/>
      <c r="B551" s="61"/>
      <c r="C551" s="61"/>
      <c r="D551" s="61"/>
      <c r="E551" s="61"/>
      <c r="F551" s="61"/>
      <c r="G551" s="179"/>
      <c r="H551" s="61"/>
      <c r="I551" s="61"/>
      <c r="J551" s="61"/>
      <c r="K551" s="61"/>
      <c r="L551" s="61"/>
      <c r="M551" s="61"/>
      <c r="N551" s="61"/>
      <c r="O551" s="61"/>
      <c r="P551" s="61"/>
      <c r="Q551" s="61"/>
      <c r="R551" s="61"/>
      <c r="S551" s="61"/>
      <c r="T551" s="61"/>
      <c r="U551" s="61"/>
      <c r="V551" s="61"/>
      <c r="W551" s="61"/>
      <c r="X551" s="61"/>
      <c r="Y551" s="61"/>
      <c r="Z551" s="61"/>
    </row>
    <row r="552" spans="1:26" ht="13">
      <c r="A552" s="61"/>
      <c r="B552" s="61"/>
      <c r="C552" s="61"/>
      <c r="D552" s="61"/>
      <c r="E552" s="61"/>
      <c r="F552" s="61"/>
      <c r="G552" s="179"/>
      <c r="H552" s="61"/>
      <c r="I552" s="61"/>
      <c r="J552" s="61"/>
      <c r="K552" s="61"/>
      <c r="L552" s="61"/>
      <c r="M552" s="61"/>
      <c r="N552" s="61"/>
      <c r="O552" s="61"/>
      <c r="P552" s="61"/>
      <c r="Q552" s="61"/>
      <c r="R552" s="61"/>
      <c r="S552" s="61"/>
      <c r="T552" s="61"/>
      <c r="U552" s="61"/>
      <c r="V552" s="61"/>
      <c r="W552" s="61"/>
      <c r="X552" s="61"/>
      <c r="Y552" s="61"/>
      <c r="Z552" s="61"/>
    </row>
    <row r="553" spans="1:26" ht="13">
      <c r="A553" s="61"/>
      <c r="B553" s="61"/>
      <c r="C553" s="61"/>
      <c r="D553" s="61"/>
      <c r="E553" s="61"/>
      <c r="F553" s="61"/>
      <c r="G553" s="179"/>
      <c r="H553" s="61"/>
      <c r="I553" s="61"/>
      <c r="J553" s="61"/>
      <c r="K553" s="61"/>
      <c r="L553" s="61"/>
      <c r="M553" s="61"/>
      <c r="N553" s="61"/>
      <c r="O553" s="61"/>
      <c r="P553" s="61"/>
      <c r="Q553" s="61"/>
      <c r="R553" s="61"/>
      <c r="S553" s="61"/>
      <c r="T553" s="61"/>
      <c r="U553" s="61"/>
      <c r="V553" s="61"/>
      <c r="W553" s="61"/>
      <c r="X553" s="61"/>
      <c r="Y553" s="61"/>
      <c r="Z553" s="61"/>
    </row>
    <row r="554" spans="1:26" ht="13">
      <c r="A554" s="61"/>
      <c r="B554" s="61"/>
      <c r="C554" s="61"/>
      <c r="D554" s="61"/>
      <c r="E554" s="61"/>
      <c r="F554" s="61"/>
      <c r="G554" s="179"/>
      <c r="H554" s="61"/>
      <c r="I554" s="61"/>
      <c r="J554" s="61"/>
      <c r="K554" s="61"/>
      <c r="L554" s="61"/>
      <c r="M554" s="61"/>
      <c r="N554" s="61"/>
      <c r="O554" s="61"/>
      <c r="P554" s="61"/>
      <c r="Q554" s="61"/>
      <c r="R554" s="61"/>
      <c r="S554" s="61"/>
      <c r="T554" s="61"/>
      <c r="U554" s="61"/>
      <c r="V554" s="61"/>
      <c r="W554" s="61"/>
      <c r="X554" s="61"/>
      <c r="Y554" s="61"/>
      <c r="Z554" s="61"/>
    </row>
    <row r="555" spans="1:26" ht="13">
      <c r="A555" s="61"/>
      <c r="B555" s="61"/>
      <c r="C555" s="61"/>
      <c r="D555" s="61"/>
      <c r="E555" s="61"/>
      <c r="F555" s="61"/>
      <c r="G555" s="179"/>
      <c r="H555" s="61"/>
      <c r="I555" s="61"/>
      <c r="J555" s="61"/>
      <c r="K555" s="61"/>
      <c r="L555" s="61"/>
      <c r="M555" s="61"/>
      <c r="N555" s="61"/>
      <c r="O555" s="61"/>
      <c r="P555" s="61"/>
      <c r="Q555" s="61"/>
      <c r="R555" s="61"/>
      <c r="S555" s="61"/>
      <c r="T555" s="61"/>
      <c r="U555" s="61"/>
      <c r="V555" s="61"/>
      <c r="W555" s="61"/>
      <c r="X555" s="61"/>
      <c r="Y555" s="61"/>
      <c r="Z555" s="61"/>
    </row>
    <row r="556" spans="1:26" ht="13">
      <c r="A556" s="61"/>
      <c r="B556" s="61"/>
      <c r="C556" s="61"/>
      <c r="D556" s="61"/>
      <c r="E556" s="61"/>
      <c r="F556" s="61"/>
      <c r="G556" s="179"/>
      <c r="H556" s="61"/>
      <c r="I556" s="61"/>
      <c r="J556" s="61"/>
      <c r="K556" s="61"/>
      <c r="L556" s="61"/>
      <c r="M556" s="61"/>
      <c r="N556" s="61"/>
      <c r="O556" s="61"/>
      <c r="P556" s="61"/>
      <c r="Q556" s="61"/>
      <c r="R556" s="61"/>
      <c r="S556" s="61"/>
      <c r="T556" s="61"/>
      <c r="U556" s="61"/>
      <c r="V556" s="61"/>
      <c r="W556" s="61"/>
      <c r="X556" s="61"/>
      <c r="Y556" s="61"/>
      <c r="Z556" s="61"/>
    </row>
    <row r="557" spans="1:26" ht="13">
      <c r="A557" s="61"/>
      <c r="B557" s="61"/>
      <c r="C557" s="61"/>
      <c r="D557" s="61"/>
      <c r="E557" s="61"/>
      <c r="F557" s="61"/>
      <c r="G557" s="179"/>
      <c r="H557" s="61"/>
      <c r="I557" s="61"/>
      <c r="J557" s="61"/>
      <c r="K557" s="61"/>
      <c r="L557" s="61"/>
      <c r="M557" s="61"/>
      <c r="N557" s="61"/>
      <c r="O557" s="61"/>
      <c r="P557" s="61"/>
      <c r="Q557" s="61"/>
      <c r="R557" s="61"/>
      <c r="S557" s="61"/>
      <c r="T557" s="61"/>
      <c r="U557" s="61"/>
      <c r="V557" s="61"/>
      <c r="W557" s="61"/>
      <c r="X557" s="61"/>
      <c r="Y557" s="61"/>
      <c r="Z557" s="61"/>
    </row>
    <row r="558" spans="1:26" ht="13">
      <c r="A558" s="61"/>
      <c r="B558" s="61"/>
      <c r="C558" s="61"/>
      <c r="D558" s="61"/>
      <c r="E558" s="61"/>
      <c r="F558" s="61"/>
      <c r="G558" s="179"/>
      <c r="H558" s="61"/>
      <c r="I558" s="61"/>
      <c r="J558" s="61"/>
      <c r="K558" s="61"/>
      <c r="L558" s="61"/>
      <c r="M558" s="61"/>
      <c r="N558" s="61"/>
      <c r="O558" s="61"/>
      <c r="P558" s="61"/>
      <c r="Q558" s="61"/>
      <c r="R558" s="61"/>
      <c r="S558" s="61"/>
      <c r="T558" s="61"/>
      <c r="U558" s="61"/>
      <c r="V558" s="61"/>
      <c r="W558" s="61"/>
      <c r="X558" s="61"/>
      <c r="Y558" s="61"/>
      <c r="Z558" s="61"/>
    </row>
    <row r="559" spans="1:26" ht="13">
      <c r="A559" s="61"/>
      <c r="B559" s="61"/>
      <c r="C559" s="61"/>
      <c r="D559" s="61"/>
      <c r="E559" s="61"/>
      <c r="F559" s="61"/>
      <c r="G559" s="179"/>
      <c r="H559" s="61"/>
      <c r="I559" s="61"/>
      <c r="J559" s="61"/>
      <c r="K559" s="61"/>
      <c r="L559" s="61"/>
      <c r="M559" s="61"/>
      <c r="N559" s="61"/>
      <c r="O559" s="61"/>
      <c r="P559" s="61"/>
      <c r="Q559" s="61"/>
      <c r="R559" s="61"/>
      <c r="S559" s="61"/>
      <c r="T559" s="61"/>
      <c r="U559" s="61"/>
      <c r="V559" s="61"/>
      <c r="W559" s="61"/>
      <c r="X559" s="61"/>
      <c r="Y559" s="61"/>
      <c r="Z559" s="61"/>
    </row>
    <row r="560" spans="1:26" ht="13">
      <c r="A560" s="61"/>
      <c r="B560" s="61"/>
      <c r="C560" s="61"/>
      <c r="D560" s="61"/>
      <c r="E560" s="61"/>
      <c r="F560" s="61"/>
      <c r="G560" s="179"/>
      <c r="H560" s="61"/>
      <c r="I560" s="61"/>
      <c r="J560" s="61"/>
      <c r="K560" s="61"/>
      <c r="L560" s="61"/>
      <c r="M560" s="61"/>
      <c r="N560" s="61"/>
      <c r="O560" s="61"/>
      <c r="P560" s="61"/>
      <c r="Q560" s="61"/>
      <c r="R560" s="61"/>
      <c r="S560" s="61"/>
      <c r="T560" s="61"/>
      <c r="U560" s="61"/>
      <c r="V560" s="61"/>
      <c r="W560" s="61"/>
      <c r="X560" s="61"/>
      <c r="Y560" s="61"/>
      <c r="Z560" s="61"/>
    </row>
    <row r="561" spans="1:26" ht="13">
      <c r="A561" s="61"/>
      <c r="B561" s="61"/>
      <c r="C561" s="61"/>
      <c r="D561" s="61"/>
      <c r="E561" s="61"/>
      <c r="F561" s="61"/>
      <c r="G561" s="179"/>
      <c r="H561" s="61"/>
      <c r="I561" s="61"/>
      <c r="J561" s="61"/>
      <c r="K561" s="61"/>
      <c r="L561" s="61"/>
      <c r="M561" s="61"/>
      <c r="N561" s="61"/>
      <c r="O561" s="61"/>
      <c r="P561" s="61"/>
      <c r="Q561" s="61"/>
      <c r="R561" s="61"/>
      <c r="S561" s="61"/>
      <c r="T561" s="61"/>
      <c r="U561" s="61"/>
      <c r="V561" s="61"/>
      <c r="W561" s="61"/>
      <c r="X561" s="61"/>
      <c r="Y561" s="61"/>
      <c r="Z561" s="61"/>
    </row>
    <row r="562" spans="1:26" ht="13">
      <c r="A562" s="61"/>
      <c r="B562" s="61"/>
      <c r="C562" s="61"/>
      <c r="D562" s="61"/>
      <c r="E562" s="61"/>
      <c r="F562" s="61"/>
      <c r="G562" s="179"/>
      <c r="H562" s="61"/>
      <c r="I562" s="61"/>
      <c r="J562" s="61"/>
      <c r="K562" s="61"/>
      <c r="L562" s="61"/>
      <c r="M562" s="61"/>
      <c r="N562" s="61"/>
      <c r="O562" s="61"/>
      <c r="P562" s="61"/>
      <c r="Q562" s="61"/>
      <c r="R562" s="61"/>
      <c r="S562" s="61"/>
      <c r="T562" s="61"/>
      <c r="U562" s="61"/>
      <c r="V562" s="61"/>
      <c r="W562" s="61"/>
      <c r="X562" s="61"/>
      <c r="Y562" s="61"/>
      <c r="Z562" s="61"/>
    </row>
    <row r="563" spans="1:26" ht="13">
      <c r="A563" s="61"/>
      <c r="B563" s="61"/>
      <c r="C563" s="61"/>
      <c r="D563" s="61"/>
      <c r="E563" s="61"/>
      <c r="F563" s="61"/>
      <c r="G563" s="179"/>
      <c r="H563" s="61"/>
      <c r="I563" s="61"/>
      <c r="J563" s="61"/>
      <c r="K563" s="61"/>
      <c r="L563" s="61"/>
      <c r="M563" s="61"/>
      <c r="N563" s="61"/>
      <c r="O563" s="61"/>
      <c r="P563" s="61"/>
      <c r="Q563" s="61"/>
      <c r="R563" s="61"/>
      <c r="S563" s="61"/>
      <c r="T563" s="61"/>
      <c r="U563" s="61"/>
      <c r="V563" s="61"/>
      <c r="W563" s="61"/>
      <c r="X563" s="61"/>
      <c r="Y563" s="61"/>
      <c r="Z563" s="61"/>
    </row>
    <row r="564" spans="1:26" ht="13">
      <c r="A564" s="61"/>
      <c r="B564" s="61"/>
      <c r="C564" s="61"/>
      <c r="D564" s="61"/>
      <c r="E564" s="61"/>
      <c r="F564" s="61"/>
      <c r="G564" s="179"/>
      <c r="H564" s="61"/>
      <c r="I564" s="61"/>
      <c r="J564" s="61"/>
      <c r="K564" s="61"/>
      <c r="L564" s="61"/>
      <c r="M564" s="61"/>
      <c r="N564" s="61"/>
      <c r="O564" s="61"/>
      <c r="P564" s="61"/>
      <c r="Q564" s="61"/>
      <c r="R564" s="61"/>
      <c r="S564" s="61"/>
      <c r="T564" s="61"/>
      <c r="U564" s="61"/>
      <c r="V564" s="61"/>
      <c r="W564" s="61"/>
      <c r="X564" s="61"/>
      <c r="Y564" s="61"/>
      <c r="Z564" s="61"/>
    </row>
    <row r="565" spans="1:26" ht="13">
      <c r="A565" s="61"/>
      <c r="B565" s="61"/>
      <c r="C565" s="61"/>
      <c r="D565" s="61"/>
      <c r="E565" s="61"/>
      <c r="F565" s="61"/>
      <c r="G565" s="179"/>
      <c r="H565" s="61"/>
      <c r="I565" s="61"/>
      <c r="J565" s="61"/>
      <c r="K565" s="61"/>
      <c r="L565" s="61"/>
      <c r="M565" s="61"/>
      <c r="N565" s="61"/>
      <c r="O565" s="61"/>
      <c r="P565" s="61"/>
      <c r="Q565" s="61"/>
      <c r="R565" s="61"/>
      <c r="S565" s="61"/>
      <c r="T565" s="61"/>
      <c r="U565" s="61"/>
      <c r="V565" s="61"/>
      <c r="W565" s="61"/>
      <c r="X565" s="61"/>
      <c r="Y565" s="61"/>
      <c r="Z565" s="61"/>
    </row>
    <row r="566" spans="1:26" ht="13">
      <c r="A566" s="61"/>
      <c r="B566" s="61"/>
      <c r="C566" s="61"/>
      <c r="D566" s="61"/>
      <c r="E566" s="61"/>
      <c r="F566" s="61"/>
      <c r="G566" s="179"/>
      <c r="H566" s="61"/>
      <c r="I566" s="61"/>
      <c r="J566" s="61"/>
      <c r="K566" s="61"/>
      <c r="L566" s="61"/>
      <c r="M566" s="61"/>
      <c r="N566" s="61"/>
      <c r="O566" s="61"/>
      <c r="P566" s="61"/>
      <c r="Q566" s="61"/>
      <c r="R566" s="61"/>
      <c r="S566" s="61"/>
      <c r="T566" s="61"/>
      <c r="U566" s="61"/>
      <c r="V566" s="61"/>
      <c r="W566" s="61"/>
      <c r="X566" s="61"/>
      <c r="Y566" s="61"/>
      <c r="Z566" s="61"/>
    </row>
    <row r="567" spans="1:26" ht="13">
      <c r="A567" s="61"/>
      <c r="B567" s="61"/>
      <c r="C567" s="61"/>
      <c r="D567" s="61"/>
      <c r="E567" s="61"/>
      <c r="F567" s="61"/>
      <c r="G567" s="179"/>
      <c r="H567" s="61"/>
      <c r="I567" s="61"/>
      <c r="J567" s="61"/>
      <c r="K567" s="61"/>
      <c r="L567" s="61"/>
      <c r="M567" s="61"/>
      <c r="N567" s="61"/>
      <c r="O567" s="61"/>
      <c r="P567" s="61"/>
      <c r="Q567" s="61"/>
      <c r="R567" s="61"/>
      <c r="S567" s="61"/>
      <c r="T567" s="61"/>
      <c r="U567" s="61"/>
      <c r="V567" s="61"/>
      <c r="W567" s="61"/>
      <c r="X567" s="61"/>
      <c r="Y567" s="61"/>
      <c r="Z567" s="61"/>
    </row>
    <row r="568" spans="1:26" ht="13">
      <c r="A568" s="61"/>
      <c r="B568" s="61"/>
      <c r="C568" s="61"/>
      <c r="D568" s="61"/>
      <c r="E568" s="61"/>
      <c r="F568" s="61"/>
      <c r="G568" s="179"/>
      <c r="H568" s="61"/>
      <c r="I568" s="61"/>
      <c r="J568" s="61"/>
      <c r="K568" s="61"/>
      <c r="L568" s="61"/>
      <c r="M568" s="61"/>
      <c r="N568" s="61"/>
      <c r="O568" s="61"/>
      <c r="P568" s="61"/>
      <c r="Q568" s="61"/>
      <c r="R568" s="61"/>
      <c r="S568" s="61"/>
      <c r="T568" s="61"/>
      <c r="U568" s="61"/>
      <c r="V568" s="61"/>
      <c r="W568" s="61"/>
      <c r="X568" s="61"/>
      <c r="Y568" s="61"/>
      <c r="Z568" s="61"/>
    </row>
    <row r="569" spans="1:26" ht="13">
      <c r="A569" s="61"/>
      <c r="B569" s="61"/>
      <c r="C569" s="61"/>
      <c r="D569" s="61"/>
      <c r="E569" s="61"/>
      <c r="F569" s="61"/>
      <c r="G569" s="179"/>
      <c r="H569" s="61"/>
      <c r="I569" s="61"/>
      <c r="J569" s="61"/>
      <c r="K569" s="61"/>
      <c r="L569" s="61"/>
      <c r="M569" s="61"/>
      <c r="N569" s="61"/>
      <c r="O569" s="61"/>
      <c r="P569" s="61"/>
      <c r="Q569" s="61"/>
      <c r="R569" s="61"/>
      <c r="S569" s="61"/>
      <c r="T569" s="61"/>
      <c r="U569" s="61"/>
      <c r="V569" s="61"/>
      <c r="W569" s="61"/>
      <c r="X569" s="61"/>
      <c r="Y569" s="61"/>
      <c r="Z569" s="61"/>
    </row>
    <row r="570" spans="1:26" ht="13">
      <c r="A570" s="61"/>
      <c r="B570" s="61"/>
      <c r="C570" s="61"/>
      <c r="D570" s="61"/>
      <c r="E570" s="61"/>
      <c r="F570" s="61"/>
      <c r="G570" s="179"/>
      <c r="H570" s="61"/>
      <c r="I570" s="61"/>
      <c r="J570" s="61"/>
      <c r="K570" s="61"/>
      <c r="L570" s="61"/>
      <c r="M570" s="61"/>
      <c r="N570" s="61"/>
      <c r="O570" s="61"/>
      <c r="P570" s="61"/>
      <c r="Q570" s="61"/>
      <c r="R570" s="61"/>
      <c r="S570" s="61"/>
      <c r="T570" s="61"/>
      <c r="U570" s="61"/>
      <c r="V570" s="61"/>
      <c r="W570" s="61"/>
      <c r="X570" s="61"/>
      <c r="Y570" s="61"/>
      <c r="Z570" s="61"/>
    </row>
    <row r="571" spans="1:26" ht="13">
      <c r="A571" s="61"/>
      <c r="B571" s="61"/>
      <c r="C571" s="61"/>
      <c r="D571" s="61"/>
      <c r="E571" s="61"/>
      <c r="F571" s="61"/>
      <c r="G571" s="179"/>
      <c r="H571" s="61"/>
      <c r="I571" s="61"/>
      <c r="J571" s="61"/>
      <c r="K571" s="61"/>
      <c r="L571" s="61"/>
      <c r="M571" s="61"/>
      <c r="N571" s="61"/>
      <c r="O571" s="61"/>
      <c r="P571" s="61"/>
      <c r="Q571" s="61"/>
      <c r="R571" s="61"/>
      <c r="S571" s="61"/>
      <c r="T571" s="61"/>
      <c r="U571" s="61"/>
      <c r="V571" s="61"/>
      <c r="W571" s="61"/>
      <c r="X571" s="61"/>
      <c r="Y571" s="61"/>
      <c r="Z571" s="61"/>
    </row>
    <row r="572" spans="1:26" ht="13">
      <c r="A572" s="61"/>
      <c r="B572" s="61"/>
      <c r="C572" s="61"/>
      <c r="D572" s="61"/>
      <c r="E572" s="61"/>
      <c r="F572" s="61"/>
      <c r="G572" s="179"/>
      <c r="H572" s="61"/>
      <c r="I572" s="61"/>
      <c r="J572" s="61"/>
      <c r="K572" s="61"/>
      <c r="L572" s="61"/>
      <c r="M572" s="61"/>
      <c r="N572" s="61"/>
      <c r="O572" s="61"/>
      <c r="P572" s="61"/>
      <c r="Q572" s="61"/>
      <c r="R572" s="61"/>
      <c r="S572" s="61"/>
      <c r="T572" s="61"/>
      <c r="U572" s="61"/>
      <c r="V572" s="61"/>
      <c r="W572" s="61"/>
      <c r="X572" s="61"/>
      <c r="Y572" s="61"/>
      <c r="Z572" s="61"/>
    </row>
    <row r="573" spans="1:26" ht="13">
      <c r="A573" s="61"/>
      <c r="B573" s="61"/>
      <c r="C573" s="61"/>
      <c r="D573" s="61"/>
      <c r="E573" s="61"/>
      <c r="F573" s="61"/>
      <c r="G573" s="179"/>
      <c r="H573" s="61"/>
      <c r="I573" s="61"/>
      <c r="J573" s="61"/>
      <c r="K573" s="61"/>
      <c r="L573" s="61"/>
      <c r="M573" s="61"/>
      <c r="N573" s="61"/>
      <c r="O573" s="61"/>
      <c r="P573" s="61"/>
      <c r="Q573" s="61"/>
      <c r="R573" s="61"/>
      <c r="S573" s="61"/>
      <c r="T573" s="61"/>
      <c r="U573" s="61"/>
      <c r="V573" s="61"/>
      <c r="W573" s="61"/>
      <c r="X573" s="61"/>
      <c r="Y573" s="61"/>
      <c r="Z573" s="61"/>
    </row>
    <row r="574" spans="1:26" ht="13">
      <c r="A574" s="61"/>
      <c r="B574" s="61"/>
      <c r="C574" s="61"/>
      <c r="D574" s="61"/>
      <c r="E574" s="61"/>
      <c r="F574" s="61"/>
      <c r="G574" s="179"/>
      <c r="H574" s="61"/>
      <c r="I574" s="61"/>
      <c r="J574" s="61"/>
      <c r="K574" s="61"/>
      <c r="L574" s="61"/>
      <c r="M574" s="61"/>
      <c r="N574" s="61"/>
      <c r="O574" s="61"/>
      <c r="P574" s="61"/>
      <c r="Q574" s="61"/>
      <c r="R574" s="61"/>
      <c r="S574" s="61"/>
      <c r="T574" s="61"/>
      <c r="U574" s="61"/>
      <c r="V574" s="61"/>
      <c r="W574" s="61"/>
      <c r="X574" s="61"/>
      <c r="Y574" s="61"/>
      <c r="Z574" s="61"/>
    </row>
    <row r="575" spans="1:26" ht="13">
      <c r="A575" s="61"/>
      <c r="B575" s="61"/>
      <c r="C575" s="61"/>
      <c r="D575" s="61"/>
      <c r="E575" s="61"/>
      <c r="F575" s="61"/>
      <c r="G575" s="179"/>
      <c r="H575" s="61"/>
      <c r="I575" s="61"/>
      <c r="J575" s="61"/>
      <c r="K575" s="61"/>
      <c r="L575" s="61"/>
      <c r="M575" s="61"/>
      <c r="N575" s="61"/>
      <c r="O575" s="61"/>
      <c r="P575" s="61"/>
      <c r="Q575" s="61"/>
      <c r="R575" s="61"/>
      <c r="S575" s="61"/>
      <c r="T575" s="61"/>
      <c r="U575" s="61"/>
      <c r="V575" s="61"/>
      <c r="W575" s="61"/>
      <c r="X575" s="61"/>
      <c r="Y575" s="61"/>
      <c r="Z575" s="61"/>
    </row>
    <row r="576" spans="1:26" ht="13">
      <c r="A576" s="61"/>
      <c r="B576" s="61"/>
      <c r="C576" s="61"/>
      <c r="D576" s="61"/>
      <c r="E576" s="61"/>
      <c r="F576" s="61"/>
      <c r="G576" s="179"/>
      <c r="H576" s="61"/>
      <c r="I576" s="61"/>
      <c r="J576" s="61"/>
      <c r="K576" s="61"/>
      <c r="L576" s="61"/>
      <c r="M576" s="61"/>
      <c r="N576" s="61"/>
      <c r="O576" s="61"/>
      <c r="P576" s="61"/>
      <c r="Q576" s="61"/>
      <c r="R576" s="61"/>
      <c r="S576" s="61"/>
      <c r="T576" s="61"/>
      <c r="U576" s="61"/>
      <c r="V576" s="61"/>
      <c r="W576" s="61"/>
      <c r="X576" s="61"/>
      <c r="Y576" s="61"/>
      <c r="Z576" s="61"/>
    </row>
    <row r="577" spans="1:26" ht="13">
      <c r="A577" s="61"/>
      <c r="B577" s="61"/>
      <c r="C577" s="61"/>
      <c r="D577" s="61"/>
      <c r="E577" s="61"/>
      <c r="F577" s="61"/>
      <c r="G577" s="179"/>
      <c r="H577" s="61"/>
      <c r="I577" s="61"/>
      <c r="J577" s="61"/>
      <c r="K577" s="61"/>
      <c r="L577" s="61"/>
      <c r="M577" s="61"/>
      <c r="N577" s="61"/>
      <c r="O577" s="61"/>
      <c r="P577" s="61"/>
      <c r="Q577" s="61"/>
      <c r="R577" s="61"/>
      <c r="S577" s="61"/>
      <c r="T577" s="61"/>
      <c r="U577" s="61"/>
      <c r="V577" s="61"/>
      <c r="W577" s="61"/>
      <c r="X577" s="61"/>
      <c r="Y577" s="61"/>
      <c r="Z577" s="61"/>
    </row>
    <row r="578" spans="1:26" ht="13">
      <c r="A578" s="61"/>
      <c r="B578" s="61"/>
      <c r="C578" s="61"/>
      <c r="D578" s="61"/>
      <c r="E578" s="61"/>
      <c r="F578" s="61"/>
      <c r="G578" s="179"/>
      <c r="H578" s="61"/>
      <c r="I578" s="61"/>
      <c r="J578" s="61"/>
      <c r="K578" s="61"/>
      <c r="L578" s="61"/>
      <c r="M578" s="61"/>
      <c r="N578" s="61"/>
      <c r="O578" s="61"/>
      <c r="P578" s="61"/>
      <c r="Q578" s="61"/>
      <c r="R578" s="61"/>
      <c r="S578" s="61"/>
      <c r="T578" s="61"/>
      <c r="U578" s="61"/>
      <c r="V578" s="61"/>
      <c r="W578" s="61"/>
      <c r="X578" s="61"/>
      <c r="Y578" s="61"/>
      <c r="Z578" s="61"/>
    </row>
    <row r="579" spans="1:26" ht="13">
      <c r="A579" s="61"/>
      <c r="B579" s="61"/>
      <c r="C579" s="61"/>
      <c r="D579" s="61"/>
      <c r="E579" s="61"/>
      <c r="F579" s="61"/>
      <c r="G579" s="179"/>
      <c r="H579" s="61"/>
      <c r="I579" s="61"/>
      <c r="J579" s="61"/>
      <c r="K579" s="61"/>
      <c r="L579" s="61"/>
      <c r="M579" s="61"/>
      <c r="N579" s="61"/>
      <c r="O579" s="61"/>
      <c r="P579" s="61"/>
      <c r="Q579" s="61"/>
      <c r="R579" s="61"/>
      <c r="S579" s="61"/>
      <c r="T579" s="61"/>
      <c r="U579" s="61"/>
      <c r="V579" s="61"/>
      <c r="W579" s="61"/>
      <c r="X579" s="61"/>
      <c r="Y579" s="61"/>
      <c r="Z579" s="61"/>
    </row>
    <row r="580" spans="1:26" ht="13">
      <c r="A580" s="61"/>
      <c r="B580" s="61"/>
      <c r="C580" s="61"/>
      <c r="D580" s="61"/>
      <c r="E580" s="61"/>
      <c r="F580" s="61"/>
      <c r="G580" s="179"/>
      <c r="H580" s="61"/>
      <c r="I580" s="61"/>
      <c r="J580" s="61"/>
      <c r="K580" s="61"/>
      <c r="L580" s="61"/>
      <c r="M580" s="61"/>
      <c r="N580" s="61"/>
      <c r="O580" s="61"/>
      <c r="P580" s="61"/>
      <c r="Q580" s="61"/>
      <c r="R580" s="61"/>
      <c r="S580" s="61"/>
      <c r="T580" s="61"/>
      <c r="U580" s="61"/>
      <c r="V580" s="61"/>
      <c r="W580" s="61"/>
      <c r="X580" s="61"/>
      <c r="Y580" s="61"/>
      <c r="Z580" s="61"/>
    </row>
    <row r="581" spans="1:26" ht="13">
      <c r="A581" s="61"/>
      <c r="B581" s="61"/>
      <c r="C581" s="61"/>
      <c r="D581" s="61"/>
      <c r="E581" s="61"/>
      <c r="F581" s="61"/>
      <c r="G581" s="179"/>
      <c r="H581" s="61"/>
      <c r="I581" s="61"/>
      <c r="J581" s="61"/>
      <c r="K581" s="61"/>
      <c r="L581" s="61"/>
      <c r="M581" s="61"/>
      <c r="N581" s="61"/>
      <c r="O581" s="61"/>
      <c r="P581" s="61"/>
      <c r="Q581" s="61"/>
      <c r="R581" s="61"/>
      <c r="S581" s="61"/>
      <c r="T581" s="61"/>
      <c r="U581" s="61"/>
      <c r="V581" s="61"/>
      <c r="W581" s="61"/>
      <c r="X581" s="61"/>
      <c r="Y581" s="61"/>
      <c r="Z581" s="61"/>
    </row>
    <row r="582" spans="1:26" ht="13">
      <c r="A582" s="61"/>
      <c r="B582" s="61"/>
      <c r="C582" s="61"/>
      <c r="D582" s="61"/>
      <c r="E582" s="61"/>
      <c r="F582" s="61"/>
      <c r="G582" s="179"/>
      <c r="H582" s="61"/>
      <c r="I582" s="61"/>
      <c r="J582" s="61"/>
      <c r="K582" s="61"/>
      <c r="L582" s="61"/>
      <c r="M582" s="61"/>
      <c r="N582" s="61"/>
      <c r="O582" s="61"/>
      <c r="P582" s="61"/>
      <c r="Q582" s="61"/>
      <c r="R582" s="61"/>
      <c r="S582" s="61"/>
      <c r="T582" s="61"/>
      <c r="U582" s="61"/>
      <c r="V582" s="61"/>
      <c r="W582" s="61"/>
      <c r="X582" s="61"/>
      <c r="Y582" s="61"/>
      <c r="Z582" s="61"/>
    </row>
    <row r="583" spans="1:26" ht="13">
      <c r="A583" s="61"/>
      <c r="B583" s="61"/>
      <c r="C583" s="61"/>
      <c r="D583" s="61"/>
      <c r="E583" s="61"/>
      <c r="F583" s="61"/>
      <c r="G583" s="179"/>
      <c r="H583" s="61"/>
      <c r="I583" s="61"/>
      <c r="J583" s="61"/>
      <c r="K583" s="61"/>
      <c r="L583" s="61"/>
      <c r="M583" s="61"/>
      <c r="N583" s="61"/>
      <c r="O583" s="61"/>
      <c r="P583" s="61"/>
      <c r="Q583" s="61"/>
      <c r="R583" s="61"/>
      <c r="S583" s="61"/>
      <c r="T583" s="61"/>
      <c r="U583" s="61"/>
      <c r="V583" s="61"/>
      <c r="W583" s="61"/>
      <c r="X583" s="61"/>
      <c r="Y583" s="61"/>
      <c r="Z583" s="61"/>
    </row>
    <row r="584" spans="1:26" ht="13">
      <c r="A584" s="61"/>
      <c r="B584" s="61"/>
      <c r="C584" s="61"/>
      <c r="D584" s="61"/>
      <c r="E584" s="61"/>
      <c r="F584" s="61"/>
      <c r="G584" s="179"/>
      <c r="H584" s="61"/>
      <c r="I584" s="61"/>
      <c r="J584" s="61"/>
      <c r="K584" s="61"/>
      <c r="L584" s="61"/>
      <c r="M584" s="61"/>
      <c r="N584" s="61"/>
      <c r="O584" s="61"/>
      <c r="P584" s="61"/>
      <c r="Q584" s="61"/>
      <c r="R584" s="61"/>
      <c r="S584" s="61"/>
      <c r="T584" s="61"/>
      <c r="U584" s="61"/>
      <c r="V584" s="61"/>
      <c r="W584" s="61"/>
      <c r="X584" s="61"/>
      <c r="Y584" s="61"/>
      <c r="Z584" s="61"/>
    </row>
    <row r="585" spans="1:26" ht="13">
      <c r="A585" s="61"/>
      <c r="B585" s="61"/>
      <c r="C585" s="61"/>
      <c r="D585" s="61"/>
      <c r="E585" s="61"/>
      <c r="F585" s="61"/>
      <c r="G585" s="179"/>
      <c r="H585" s="61"/>
      <c r="I585" s="61"/>
      <c r="J585" s="61"/>
      <c r="K585" s="61"/>
      <c r="L585" s="61"/>
      <c r="M585" s="61"/>
      <c r="N585" s="61"/>
      <c r="O585" s="61"/>
      <c r="P585" s="61"/>
      <c r="Q585" s="61"/>
      <c r="R585" s="61"/>
      <c r="S585" s="61"/>
      <c r="T585" s="61"/>
      <c r="U585" s="61"/>
      <c r="V585" s="61"/>
      <c r="W585" s="61"/>
      <c r="X585" s="61"/>
      <c r="Y585" s="61"/>
      <c r="Z585" s="61"/>
    </row>
    <row r="586" spans="1:26" ht="13">
      <c r="A586" s="61"/>
      <c r="B586" s="61"/>
      <c r="C586" s="61"/>
      <c r="D586" s="61"/>
      <c r="E586" s="61"/>
      <c r="F586" s="61"/>
      <c r="G586" s="179"/>
      <c r="H586" s="61"/>
      <c r="I586" s="61"/>
      <c r="J586" s="61"/>
      <c r="K586" s="61"/>
      <c r="L586" s="61"/>
      <c r="M586" s="61"/>
      <c r="N586" s="61"/>
      <c r="O586" s="61"/>
      <c r="P586" s="61"/>
      <c r="Q586" s="61"/>
      <c r="R586" s="61"/>
      <c r="S586" s="61"/>
      <c r="T586" s="61"/>
      <c r="U586" s="61"/>
      <c r="V586" s="61"/>
      <c r="W586" s="61"/>
      <c r="X586" s="61"/>
      <c r="Y586" s="61"/>
      <c r="Z586" s="61"/>
    </row>
    <row r="587" spans="1:26" ht="13">
      <c r="A587" s="61"/>
      <c r="B587" s="61"/>
      <c r="C587" s="61"/>
      <c r="D587" s="61"/>
      <c r="E587" s="61"/>
      <c r="F587" s="61"/>
      <c r="G587" s="179"/>
      <c r="H587" s="61"/>
      <c r="I587" s="61"/>
      <c r="J587" s="61"/>
      <c r="K587" s="61"/>
      <c r="L587" s="61"/>
      <c r="M587" s="61"/>
      <c r="N587" s="61"/>
      <c r="O587" s="61"/>
      <c r="P587" s="61"/>
      <c r="Q587" s="61"/>
      <c r="R587" s="61"/>
      <c r="S587" s="61"/>
      <c r="T587" s="61"/>
      <c r="U587" s="61"/>
      <c r="V587" s="61"/>
      <c r="W587" s="61"/>
      <c r="X587" s="61"/>
      <c r="Y587" s="61"/>
      <c r="Z587" s="61"/>
    </row>
    <row r="588" spans="1:26" ht="13">
      <c r="A588" s="61"/>
      <c r="B588" s="61"/>
      <c r="C588" s="61"/>
      <c r="D588" s="61"/>
      <c r="E588" s="61"/>
      <c r="F588" s="61"/>
      <c r="G588" s="179"/>
      <c r="H588" s="61"/>
      <c r="I588" s="61"/>
      <c r="J588" s="61"/>
      <c r="K588" s="61"/>
      <c r="L588" s="61"/>
      <c r="M588" s="61"/>
      <c r="N588" s="61"/>
      <c r="O588" s="61"/>
      <c r="P588" s="61"/>
      <c r="Q588" s="61"/>
      <c r="R588" s="61"/>
      <c r="S588" s="61"/>
      <c r="T588" s="61"/>
      <c r="U588" s="61"/>
      <c r="V588" s="61"/>
      <c r="W588" s="61"/>
      <c r="X588" s="61"/>
      <c r="Y588" s="61"/>
      <c r="Z588" s="61"/>
    </row>
    <row r="589" spans="1:26" ht="13">
      <c r="A589" s="61"/>
      <c r="B589" s="61"/>
      <c r="C589" s="61"/>
      <c r="D589" s="61"/>
      <c r="E589" s="61"/>
      <c r="F589" s="61"/>
      <c r="G589" s="179"/>
      <c r="H589" s="61"/>
      <c r="I589" s="61"/>
      <c r="J589" s="61"/>
      <c r="K589" s="61"/>
      <c r="L589" s="61"/>
      <c r="M589" s="61"/>
      <c r="N589" s="61"/>
      <c r="O589" s="61"/>
      <c r="P589" s="61"/>
      <c r="Q589" s="61"/>
      <c r="R589" s="61"/>
      <c r="S589" s="61"/>
      <c r="T589" s="61"/>
      <c r="U589" s="61"/>
      <c r="V589" s="61"/>
      <c r="W589" s="61"/>
      <c r="X589" s="61"/>
      <c r="Y589" s="61"/>
      <c r="Z589" s="61"/>
    </row>
    <row r="590" spans="1:26" ht="13">
      <c r="A590" s="61"/>
      <c r="B590" s="61"/>
      <c r="C590" s="61"/>
      <c r="D590" s="61"/>
      <c r="E590" s="61"/>
      <c r="F590" s="61"/>
      <c r="G590" s="179"/>
      <c r="H590" s="61"/>
      <c r="I590" s="61"/>
      <c r="J590" s="61"/>
      <c r="K590" s="61"/>
      <c r="L590" s="61"/>
      <c r="M590" s="61"/>
      <c r="N590" s="61"/>
      <c r="O590" s="61"/>
      <c r="P590" s="61"/>
      <c r="Q590" s="61"/>
      <c r="R590" s="61"/>
      <c r="S590" s="61"/>
      <c r="T590" s="61"/>
      <c r="U590" s="61"/>
      <c r="V590" s="61"/>
      <c r="W590" s="61"/>
      <c r="X590" s="61"/>
      <c r="Y590" s="61"/>
      <c r="Z590" s="61"/>
    </row>
    <row r="591" spans="1:26" ht="13">
      <c r="A591" s="61"/>
      <c r="B591" s="61"/>
      <c r="C591" s="61"/>
      <c r="D591" s="61"/>
      <c r="E591" s="61"/>
      <c r="F591" s="61"/>
      <c r="G591" s="179"/>
      <c r="H591" s="61"/>
      <c r="I591" s="61"/>
      <c r="J591" s="61"/>
      <c r="K591" s="61"/>
      <c r="L591" s="61"/>
      <c r="M591" s="61"/>
      <c r="N591" s="61"/>
      <c r="O591" s="61"/>
      <c r="P591" s="61"/>
      <c r="Q591" s="61"/>
      <c r="R591" s="61"/>
      <c r="S591" s="61"/>
      <c r="T591" s="61"/>
      <c r="U591" s="61"/>
      <c r="V591" s="61"/>
      <c r="W591" s="61"/>
      <c r="X591" s="61"/>
      <c r="Y591" s="61"/>
      <c r="Z591" s="61"/>
    </row>
    <row r="592" spans="1:26" ht="13">
      <c r="A592" s="61"/>
      <c r="B592" s="61"/>
      <c r="C592" s="61"/>
      <c r="D592" s="61"/>
      <c r="E592" s="61"/>
      <c r="F592" s="61"/>
      <c r="G592" s="179"/>
      <c r="H592" s="61"/>
      <c r="I592" s="61"/>
      <c r="J592" s="61"/>
      <c r="K592" s="61"/>
      <c r="L592" s="61"/>
      <c r="M592" s="61"/>
      <c r="N592" s="61"/>
      <c r="O592" s="61"/>
      <c r="P592" s="61"/>
      <c r="Q592" s="61"/>
      <c r="R592" s="61"/>
      <c r="S592" s="61"/>
      <c r="T592" s="61"/>
      <c r="U592" s="61"/>
      <c r="V592" s="61"/>
      <c r="W592" s="61"/>
      <c r="X592" s="61"/>
      <c r="Y592" s="61"/>
      <c r="Z592" s="61"/>
    </row>
    <row r="593" spans="1:26" ht="13">
      <c r="A593" s="61"/>
      <c r="B593" s="61"/>
      <c r="C593" s="61"/>
      <c r="D593" s="61"/>
      <c r="E593" s="61"/>
      <c r="F593" s="61"/>
      <c r="G593" s="179"/>
      <c r="H593" s="61"/>
      <c r="I593" s="61"/>
      <c r="J593" s="61"/>
      <c r="K593" s="61"/>
      <c r="L593" s="61"/>
      <c r="M593" s="61"/>
      <c r="N593" s="61"/>
      <c r="O593" s="61"/>
      <c r="P593" s="61"/>
      <c r="Q593" s="61"/>
      <c r="R593" s="61"/>
      <c r="S593" s="61"/>
      <c r="T593" s="61"/>
      <c r="U593" s="61"/>
      <c r="V593" s="61"/>
      <c r="W593" s="61"/>
      <c r="X593" s="61"/>
      <c r="Y593" s="61"/>
      <c r="Z593" s="61"/>
    </row>
    <row r="594" spans="1:26" ht="13">
      <c r="A594" s="61"/>
      <c r="B594" s="61"/>
      <c r="C594" s="61"/>
      <c r="D594" s="61"/>
      <c r="E594" s="61"/>
      <c r="F594" s="61"/>
      <c r="G594" s="179"/>
      <c r="H594" s="61"/>
      <c r="I594" s="61"/>
      <c r="J594" s="61"/>
      <c r="K594" s="61"/>
      <c r="L594" s="61"/>
      <c r="M594" s="61"/>
      <c r="N594" s="61"/>
      <c r="O594" s="61"/>
      <c r="P594" s="61"/>
      <c r="Q594" s="61"/>
      <c r="R594" s="61"/>
      <c r="S594" s="61"/>
      <c r="T594" s="61"/>
      <c r="U594" s="61"/>
      <c r="V594" s="61"/>
      <c r="W594" s="61"/>
      <c r="X594" s="61"/>
      <c r="Y594" s="61"/>
      <c r="Z594" s="61"/>
    </row>
    <row r="595" spans="1:26" ht="13">
      <c r="A595" s="61"/>
      <c r="B595" s="61"/>
      <c r="C595" s="61"/>
      <c r="D595" s="61"/>
      <c r="E595" s="61"/>
      <c r="F595" s="61"/>
      <c r="G595" s="179"/>
      <c r="H595" s="61"/>
      <c r="I595" s="61"/>
      <c r="J595" s="61"/>
      <c r="K595" s="61"/>
      <c r="L595" s="61"/>
      <c r="M595" s="61"/>
      <c r="N595" s="61"/>
      <c r="O595" s="61"/>
      <c r="P595" s="61"/>
      <c r="Q595" s="61"/>
      <c r="R595" s="61"/>
      <c r="S595" s="61"/>
      <c r="T595" s="61"/>
      <c r="U595" s="61"/>
      <c r="V595" s="61"/>
      <c r="W595" s="61"/>
      <c r="X595" s="61"/>
      <c r="Y595" s="61"/>
      <c r="Z595" s="61"/>
    </row>
    <row r="596" spans="1:26" ht="13">
      <c r="A596" s="61"/>
      <c r="B596" s="61"/>
      <c r="C596" s="61"/>
      <c r="D596" s="61"/>
      <c r="E596" s="61"/>
      <c r="F596" s="61"/>
      <c r="G596" s="179"/>
      <c r="H596" s="61"/>
      <c r="I596" s="61"/>
      <c r="J596" s="61"/>
      <c r="K596" s="61"/>
      <c r="L596" s="61"/>
      <c r="M596" s="61"/>
      <c r="N596" s="61"/>
      <c r="O596" s="61"/>
      <c r="P596" s="61"/>
      <c r="Q596" s="61"/>
      <c r="R596" s="61"/>
      <c r="S596" s="61"/>
      <c r="T596" s="61"/>
      <c r="U596" s="61"/>
      <c r="V596" s="61"/>
      <c r="W596" s="61"/>
      <c r="X596" s="61"/>
      <c r="Y596" s="61"/>
      <c r="Z596" s="61"/>
    </row>
    <row r="597" spans="1:26" ht="13">
      <c r="A597" s="61"/>
      <c r="B597" s="61"/>
      <c r="C597" s="61"/>
      <c r="D597" s="61"/>
      <c r="E597" s="61"/>
      <c r="F597" s="61"/>
      <c r="G597" s="179"/>
      <c r="H597" s="61"/>
      <c r="I597" s="61"/>
      <c r="J597" s="61"/>
      <c r="K597" s="61"/>
      <c r="L597" s="61"/>
      <c r="M597" s="61"/>
      <c r="N597" s="61"/>
      <c r="O597" s="61"/>
      <c r="P597" s="61"/>
      <c r="Q597" s="61"/>
      <c r="R597" s="61"/>
      <c r="S597" s="61"/>
      <c r="T597" s="61"/>
      <c r="U597" s="61"/>
      <c r="V597" s="61"/>
      <c r="W597" s="61"/>
      <c r="X597" s="61"/>
      <c r="Y597" s="61"/>
      <c r="Z597" s="61"/>
    </row>
    <row r="598" spans="1:26" ht="13">
      <c r="A598" s="61"/>
      <c r="B598" s="61"/>
      <c r="C598" s="61"/>
      <c r="D598" s="61"/>
      <c r="E598" s="61"/>
      <c r="F598" s="61"/>
      <c r="G598" s="179"/>
      <c r="H598" s="61"/>
      <c r="I598" s="61"/>
      <c r="J598" s="61"/>
      <c r="K598" s="61"/>
      <c r="L598" s="61"/>
      <c r="M598" s="61"/>
      <c r="N598" s="61"/>
      <c r="O598" s="61"/>
      <c r="P598" s="61"/>
      <c r="Q598" s="61"/>
      <c r="R598" s="61"/>
      <c r="S598" s="61"/>
      <c r="T598" s="61"/>
      <c r="U598" s="61"/>
      <c r="V598" s="61"/>
      <c r="W598" s="61"/>
      <c r="X598" s="61"/>
      <c r="Y598" s="61"/>
      <c r="Z598" s="61"/>
    </row>
    <row r="599" spans="1:26" ht="13">
      <c r="A599" s="61"/>
      <c r="B599" s="61"/>
      <c r="C599" s="61"/>
      <c r="D599" s="61"/>
      <c r="E599" s="61"/>
      <c r="F599" s="61"/>
      <c r="G599" s="179"/>
      <c r="H599" s="61"/>
      <c r="I599" s="61"/>
      <c r="J599" s="61"/>
      <c r="K599" s="61"/>
      <c r="L599" s="61"/>
      <c r="M599" s="61"/>
      <c r="N599" s="61"/>
      <c r="O599" s="61"/>
      <c r="P599" s="61"/>
      <c r="Q599" s="61"/>
      <c r="R599" s="61"/>
      <c r="S599" s="61"/>
      <c r="T599" s="61"/>
      <c r="U599" s="61"/>
      <c r="V599" s="61"/>
      <c r="W599" s="61"/>
      <c r="X599" s="61"/>
      <c r="Y599" s="61"/>
      <c r="Z599" s="61"/>
    </row>
    <row r="600" spans="1:26" ht="13">
      <c r="A600" s="61"/>
      <c r="B600" s="61"/>
      <c r="C600" s="61"/>
      <c r="D600" s="61"/>
      <c r="E600" s="61"/>
      <c r="F600" s="61"/>
      <c r="G600" s="179"/>
      <c r="H600" s="61"/>
      <c r="I600" s="61"/>
      <c r="J600" s="61"/>
      <c r="K600" s="61"/>
      <c r="L600" s="61"/>
      <c r="M600" s="61"/>
      <c r="N600" s="61"/>
      <c r="O600" s="61"/>
      <c r="P600" s="61"/>
      <c r="Q600" s="61"/>
      <c r="R600" s="61"/>
      <c r="S600" s="61"/>
      <c r="T600" s="61"/>
      <c r="U600" s="61"/>
      <c r="V600" s="61"/>
      <c r="W600" s="61"/>
      <c r="X600" s="61"/>
      <c r="Y600" s="61"/>
      <c r="Z600" s="61"/>
    </row>
    <row r="601" spans="1:26" ht="13">
      <c r="A601" s="61"/>
      <c r="B601" s="61"/>
      <c r="C601" s="61"/>
      <c r="D601" s="61"/>
      <c r="E601" s="61"/>
      <c r="F601" s="61"/>
      <c r="G601" s="179"/>
      <c r="H601" s="61"/>
      <c r="I601" s="61"/>
      <c r="J601" s="61"/>
      <c r="K601" s="61"/>
      <c r="L601" s="61"/>
      <c r="M601" s="61"/>
      <c r="N601" s="61"/>
      <c r="O601" s="61"/>
      <c r="P601" s="61"/>
      <c r="Q601" s="61"/>
      <c r="R601" s="61"/>
      <c r="S601" s="61"/>
      <c r="T601" s="61"/>
      <c r="U601" s="61"/>
      <c r="V601" s="61"/>
      <c r="W601" s="61"/>
      <c r="X601" s="61"/>
      <c r="Y601" s="61"/>
      <c r="Z601" s="61"/>
    </row>
    <row r="602" spans="1:26" ht="13">
      <c r="A602" s="61"/>
      <c r="B602" s="61"/>
      <c r="C602" s="61"/>
      <c r="D602" s="61"/>
      <c r="E602" s="61"/>
      <c r="F602" s="61"/>
      <c r="G602" s="179"/>
      <c r="H602" s="61"/>
      <c r="I602" s="61"/>
      <c r="J602" s="61"/>
      <c r="K602" s="61"/>
      <c r="L602" s="61"/>
      <c r="M602" s="61"/>
      <c r="N602" s="61"/>
      <c r="O602" s="61"/>
      <c r="P602" s="61"/>
      <c r="Q602" s="61"/>
      <c r="R602" s="61"/>
      <c r="S602" s="61"/>
      <c r="T602" s="61"/>
      <c r="U602" s="61"/>
      <c r="V602" s="61"/>
      <c r="W602" s="61"/>
      <c r="X602" s="61"/>
      <c r="Y602" s="61"/>
      <c r="Z602" s="61"/>
    </row>
    <row r="603" spans="1:26" ht="13">
      <c r="A603" s="61"/>
      <c r="B603" s="61"/>
      <c r="C603" s="61"/>
      <c r="D603" s="61"/>
      <c r="E603" s="61"/>
      <c r="F603" s="61"/>
      <c r="G603" s="179"/>
      <c r="H603" s="61"/>
      <c r="I603" s="61"/>
      <c r="J603" s="61"/>
      <c r="K603" s="61"/>
      <c r="L603" s="61"/>
      <c r="M603" s="61"/>
      <c r="N603" s="61"/>
      <c r="O603" s="61"/>
      <c r="P603" s="61"/>
      <c r="Q603" s="61"/>
      <c r="R603" s="61"/>
      <c r="S603" s="61"/>
      <c r="T603" s="61"/>
      <c r="U603" s="61"/>
      <c r="V603" s="61"/>
      <c r="W603" s="61"/>
      <c r="X603" s="61"/>
      <c r="Y603" s="61"/>
      <c r="Z603" s="61"/>
    </row>
    <row r="604" spans="1:26" ht="13">
      <c r="A604" s="61"/>
      <c r="B604" s="61"/>
      <c r="C604" s="61"/>
      <c r="D604" s="61"/>
      <c r="E604" s="61"/>
      <c r="F604" s="61"/>
      <c r="G604" s="179"/>
      <c r="H604" s="61"/>
      <c r="I604" s="61"/>
      <c r="J604" s="61"/>
      <c r="K604" s="61"/>
      <c r="L604" s="61"/>
      <c r="M604" s="61"/>
      <c r="N604" s="61"/>
      <c r="O604" s="61"/>
      <c r="P604" s="61"/>
      <c r="Q604" s="61"/>
      <c r="R604" s="61"/>
      <c r="S604" s="61"/>
      <c r="T604" s="61"/>
      <c r="U604" s="61"/>
      <c r="V604" s="61"/>
      <c r="W604" s="61"/>
      <c r="X604" s="61"/>
      <c r="Y604" s="61"/>
      <c r="Z604" s="61"/>
    </row>
    <row r="605" spans="1:26" ht="13">
      <c r="A605" s="61"/>
      <c r="B605" s="61"/>
      <c r="C605" s="61"/>
      <c r="D605" s="61"/>
      <c r="E605" s="61"/>
      <c r="F605" s="61"/>
      <c r="G605" s="179"/>
      <c r="H605" s="61"/>
      <c r="I605" s="61"/>
      <c r="J605" s="61"/>
      <c r="K605" s="61"/>
      <c r="L605" s="61"/>
      <c r="M605" s="61"/>
      <c r="N605" s="61"/>
      <c r="O605" s="61"/>
      <c r="P605" s="61"/>
      <c r="Q605" s="61"/>
      <c r="R605" s="61"/>
      <c r="S605" s="61"/>
      <c r="T605" s="61"/>
      <c r="U605" s="61"/>
      <c r="V605" s="61"/>
      <c r="W605" s="61"/>
      <c r="X605" s="61"/>
      <c r="Y605" s="61"/>
      <c r="Z605" s="61"/>
    </row>
    <row r="606" spans="1:26" ht="13">
      <c r="A606" s="61"/>
      <c r="B606" s="61"/>
      <c r="C606" s="61"/>
      <c r="D606" s="61"/>
      <c r="E606" s="61"/>
      <c r="F606" s="61"/>
      <c r="G606" s="179"/>
      <c r="H606" s="61"/>
      <c r="I606" s="61"/>
      <c r="J606" s="61"/>
      <c r="K606" s="61"/>
      <c r="L606" s="61"/>
      <c r="M606" s="61"/>
      <c r="N606" s="61"/>
      <c r="O606" s="61"/>
      <c r="P606" s="61"/>
      <c r="Q606" s="61"/>
      <c r="R606" s="61"/>
      <c r="S606" s="61"/>
      <c r="T606" s="61"/>
      <c r="U606" s="61"/>
      <c r="V606" s="61"/>
      <c r="W606" s="61"/>
      <c r="X606" s="61"/>
      <c r="Y606" s="61"/>
      <c r="Z606" s="61"/>
    </row>
    <row r="607" spans="1:26" ht="13">
      <c r="A607" s="61"/>
      <c r="B607" s="61"/>
      <c r="C607" s="61"/>
      <c r="D607" s="61"/>
      <c r="E607" s="61"/>
      <c r="F607" s="61"/>
      <c r="G607" s="179"/>
      <c r="H607" s="61"/>
      <c r="I607" s="61"/>
      <c r="J607" s="61"/>
      <c r="K607" s="61"/>
      <c r="L607" s="61"/>
      <c r="M607" s="61"/>
      <c r="N607" s="61"/>
      <c r="O607" s="61"/>
      <c r="P607" s="61"/>
      <c r="Q607" s="61"/>
      <c r="R607" s="61"/>
      <c r="S607" s="61"/>
      <c r="T607" s="61"/>
      <c r="U607" s="61"/>
      <c r="V607" s="61"/>
      <c r="W607" s="61"/>
      <c r="X607" s="61"/>
      <c r="Y607" s="61"/>
      <c r="Z607" s="61"/>
    </row>
    <row r="608" spans="1:26" ht="13">
      <c r="A608" s="61"/>
      <c r="B608" s="61"/>
      <c r="C608" s="61"/>
      <c r="D608" s="61"/>
      <c r="E608" s="61"/>
      <c r="F608" s="61"/>
      <c r="G608" s="179"/>
      <c r="H608" s="61"/>
      <c r="I608" s="61"/>
      <c r="J608" s="61"/>
      <c r="K608" s="61"/>
      <c r="L608" s="61"/>
      <c r="M608" s="61"/>
      <c r="N608" s="61"/>
      <c r="O608" s="61"/>
      <c r="P608" s="61"/>
      <c r="Q608" s="61"/>
      <c r="R608" s="61"/>
      <c r="S608" s="61"/>
      <c r="T608" s="61"/>
      <c r="U608" s="61"/>
      <c r="V608" s="61"/>
      <c r="W608" s="61"/>
      <c r="X608" s="61"/>
      <c r="Y608" s="61"/>
      <c r="Z608" s="61"/>
    </row>
    <row r="609" spans="1:26" ht="13">
      <c r="A609" s="61"/>
      <c r="B609" s="61"/>
      <c r="C609" s="61"/>
      <c r="D609" s="61"/>
      <c r="E609" s="61"/>
      <c r="F609" s="61"/>
      <c r="G609" s="179"/>
      <c r="H609" s="61"/>
      <c r="I609" s="61"/>
      <c r="J609" s="61"/>
      <c r="K609" s="61"/>
      <c r="L609" s="61"/>
      <c r="M609" s="61"/>
      <c r="N609" s="61"/>
      <c r="O609" s="61"/>
      <c r="P609" s="61"/>
      <c r="Q609" s="61"/>
      <c r="R609" s="61"/>
      <c r="S609" s="61"/>
      <c r="T609" s="61"/>
      <c r="U609" s="61"/>
      <c r="V609" s="61"/>
      <c r="W609" s="61"/>
      <c r="X609" s="61"/>
      <c r="Y609" s="61"/>
      <c r="Z609" s="61"/>
    </row>
    <row r="610" spans="1:26" ht="13">
      <c r="A610" s="61"/>
      <c r="B610" s="61"/>
      <c r="C610" s="61"/>
      <c r="D610" s="61"/>
      <c r="E610" s="61"/>
      <c r="F610" s="61"/>
      <c r="G610" s="179"/>
      <c r="H610" s="61"/>
      <c r="I610" s="61"/>
      <c r="J610" s="61"/>
      <c r="K610" s="61"/>
      <c r="L610" s="61"/>
      <c r="M610" s="61"/>
      <c r="N610" s="61"/>
      <c r="O610" s="61"/>
      <c r="P610" s="61"/>
      <c r="Q610" s="61"/>
      <c r="R610" s="61"/>
      <c r="S610" s="61"/>
      <c r="T610" s="61"/>
      <c r="U610" s="61"/>
      <c r="V610" s="61"/>
      <c r="W610" s="61"/>
      <c r="X610" s="61"/>
      <c r="Y610" s="61"/>
      <c r="Z610" s="61"/>
    </row>
    <row r="611" spans="1:26" ht="13">
      <c r="A611" s="61"/>
      <c r="B611" s="61"/>
      <c r="C611" s="61"/>
      <c r="D611" s="61"/>
      <c r="E611" s="61"/>
      <c r="F611" s="61"/>
      <c r="G611" s="179"/>
      <c r="H611" s="61"/>
      <c r="I611" s="61"/>
      <c r="J611" s="61"/>
      <c r="K611" s="61"/>
      <c r="L611" s="61"/>
      <c r="M611" s="61"/>
      <c r="N611" s="61"/>
      <c r="O611" s="61"/>
      <c r="P611" s="61"/>
      <c r="Q611" s="61"/>
      <c r="R611" s="61"/>
      <c r="S611" s="61"/>
      <c r="T611" s="61"/>
      <c r="U611" s="61"/>
      <c r="V611" s="61"/>
      <c r="W611" s="61"/>
      <c r="X611" s="61"/>
      <c r="Y611" s="61"/>
      <c r="Z611" s="61"/>
    </row>
    <row r="612" spans="1:26" ht="13">
      <c r="A612" s="61"/>
      <c r="B612" s="61"/>
      <c r="C612" s="61"/>
      <c r="D612" s="61"/>
      <c r="E612" s="61"/>
      <c r="F612" s="61"/>
      <c r="G612" s="179"/>
      <c r="H612" s="61"/>
      <c r="I612" s="61"/>
      <c r="J612" s="61"/>
      <c r="K612" s="61"/>
      <c r="L612" s="61"/>
      <c r="M612" s="61"/>
      <c r="N612" s="61"/>
      <c r="O612" s="61"/>
      <c r="P612" s="61"/>
      <c r="Q612" s="61"/>
      <c r="R612" s="61"/>
      <c r="S612" s="61"/>
      <c r="T612" s="61"/>
      <c r="U612" s="61"/>
      <c r="V612" s="61"/>
      <c r="W612" s="61"/>
      <c r="X612" s="61"/>
      <c r="Y612" s="61"/>
      <c r="Z612" s="61"/>
    </row>
    <row r="613" spans="1:26" ht="13">
      <c r="A613" s="61"/>
      <c r="B613" s="61"/>
      <c r="C613" s="61"/>
      <c r="D613" s="61"/>
      <c r="E613" s="61"/>
      <c r="F613" s="61"/>
      <c r="G613" s="179"/>
      <c r="H613" s="61"/>
      <c r="I613" s="61"/>
      <c r="J613" s="61"/>
      <c r="K613" s="61"/>
      <c r="L613" s="61"/>
      <c r="M613" s="61"/>
      <c r="N613" s="61"/>
      <c r="O613" s="61"/>
      <c r="P613" s="61"/>
      <c r="Q613" s="61"/>
      <c r="R613" s="61"/>
      <c r="S613" s="61"/>
      <c r="T613" s="61"/>
      <c r="U613" s="61"/>
      <c r="V613" s="61"/>
      <c r="W613" s="61"/>
      <c r="X613" s="61"/>
      <c r="Y613" s="61"/>
      <c r="Z613" s="61"/>
    </row>
    <row r="614" spans="1:26" ht="13">
      <c r="A614" s="61"/>
      <c r="B614" s="61"/>
      <c r="C614" s="61"/>
      <c r="D614" s="61"/>
      <c r="E614" s="61"/>
      <c r="F614" s="61"/>
      <c r="G614" s="179"/>
      <c r="H614" s="61"/>
      <c r="I614" s="61"/>
      <c r="J614" s="61"/>
      <c r="K614" s="61"/>
      <c r="L614" s="61"/>
      <c r="M614" s="61"/>
      <c r="N614" s="61"/>
      <c r="O614" s="61"/>
      <c r="P614" s="61"/>
      <c r="Q614" s="61"/>
      <c r="R614" s="61"/>
      <c r="S614" s="61"/>
      <c r="T614" s="61"/>
      <c r="U614" s="61"/>
      <c r="V614" s="61"/>
      <c r="W614" s="61"/>
      <c r="X614" s="61"/>
      <c r="Y614" s="61"/>
      <c r="Z614" s="61"/>
    </row>
    <row r="615" spans="1:26" ht="13">
      <c r="A615" s="61"/>
      <c r="B615" s="61"/>
      <c r="C615" s="61"/>
      <c r="D615" s="61"/>
      <c r="E615" s="61"/>
      <c r="F615" s="61"/>
      <c r="G615" s="179"/>
      <c r="H615" s="61"/>
      <c r="I615" s="61"/>
      <c r="J615" s="61"/>
      <c r="K615" s="61"/>
      <c r="L615" s="61"/>
      <c r="M615" s="61"/>
      <c r="N615" s="61"/>
      <c r="O615" s="61"/>
      <c r="P615" s="61"/>
      <c r="Q615" s="61"/>
      <c r="R615" s="61"/>
      <c r="S615" s="61"/>
      <c r="T615" s="61"/>
      <c r="U615" s="61"/>
      <c r="V615" s="61"/>
      <c r="W615" s="61"/>
      <c r="X615" s="61"/>
      <c r="Y615" s="61"/>
      <c r="Z615" s="61"/>
    </row>
    <row r="616" spans="1:26" ht="13">
      <c r="A616" s="61"/>
      <c r="B616" s="61"/>
      <c r="C616" s="61"/>
      <c r="D616" s="61"/>
      <c r="E616" s="61"/>
      <c r="F616" s="61"/>
      <c r="G616" s="179"/>
      <c r="H616" s="61"/>
      <c r="I616" s="61"/>
      <c r="J616" s="61"/>
      <c r="K616" s="61"/>
      <c r="L616" s="61"/>
      <c r="M616" s="61"/>
      <c r="N616" s="61"/>
      <c r="O616" s="61"/>
      <c r="P616" s="61"/>
      <c r="Q616" s="61"/>
      <c r="R616" s="61"/>
      <c r="S616" s="61"/>
      <c r="T616" s="61"/>
      <c r="U616" s="61"/>
      <c r="V616" s="61"/>
      <c r="W616" s="61"/>
      <c r="X616" s="61"/>
      <c r="Y616" s="61"/>
      <c r="Z616" s="61"/>
    </row>
    <row r="617" spans="1:26" ht="13">
      <c r="A617" s="61"/>
      <c r="B617" s="61"/>
      <c r="C617" s="61"/>
      <c r="D617" s="61"/>
      <c r="E617" s="61"/>
      <c r="F617" s="61"/>
      <c r="G617" s="179"/>
      <c r="H617" s="61"/>
      <c r="I617" s="61"/>
      <c r="J617" s="61"/>
      <c r="K617" s="61"/>
      <c r="L617" s="61"/>
      <c r="M617" s="61"/>
      <c r="N617" s="61"/>
      <c r="O617" s="61"/>
      <c r="P617" s="61"/>
      <c r="Q617" s="61"/>
      <c r="R617" s="61"/>
      <c r="S617" s="61"/>
      <c r="T617" s="61"/>
      <c r="U617" s="61"/>
      <c r="V617" s="61"/>
      <c r="W617" s="61"/>
      <c r="X617" s="61"/>
      <c r="Y617" s="61"/>
      <c r="Z617" s="61"/>
    </row>
    <row r="618" spans="1:26" ht="13">
      <c r="A618" s="61"/>
      <c r="B618" s="61"/>
      <c r="C618" s="61"/>
      <c r="D618" s="61"/>
      <c r="E618" s="61"/>
      <c r="F618" s="61"/>
      <c r="G618" s="179"/>
      <c r="H618" s="61"/>
      <c r="I618" s="61"/>
      <c r="J618" s="61"/>
      <c r="K618" s="61"/>
      <c r="L618" s="61"/>
      <c r="M618" s="61"/>
      <c r="N618" s="61"/>
      <c r="O618" s="61"/>
      <c r="P618" s="61"/>
      <c r="Q618" s="61"/>
      <c r="R618" s="61"/>
      <c r="S618" s="61"/>
      <c r="T618" s="61"/>
      <c r="U618" s="61"/>
      <c r="V618" s="61"/>
      <c r="W618" s="61"/>
      <c r="X618" s="61"/>
      <c r="Y618" s="61"/>
      <c r="Z618" s="61"/>
    </row>
    <row r="619" spans="1:26" ht="13">
      <c r="A619" s="61"/>
      <c r="B619" s="61"/>
      <c r="C619" s="61"/>
      <c r="D619" s="61"/>
      <c r="E619" s="61"/>
      <c r="F619" s="61"/>
      <c r="G619" s="179"/>
      <c r="H619" s="61"/>
      <c r="I619" s="61"/>
      <c r="J619" s="61"/>
      <c r="K619" s="61"/>
      <c r="L619" s="61"/>
      <c r="M619" s="61"/>
      <c r="N619" s="61"/>
      <c r="O619" s="61"/>
      <c r="P619" s="61"/>
      <c r="Q619" s="61"/>
      <c r="R619" s="61"/>
      <c r="S619" s="61"/>
      <c r="T619" s="61"/>
      <c r="U619" s="61"/>
      <c r="V619" s="61"/>
      <c r="W619" s="61"/>
      <c r="X619" s="61"/>
      <c r="Y619" s="61"/>
      <c r="Z619" s="61"/>
    </row>
    <row r="620" spans="1:26" ht="13">
      <c r="A620" s="61"/>
      <c r="B620" s="61"/>
      <c r="C620" s="61"/>
      <c r="D620" s="61"/>
      <c r="E620" s="61"/>
      <c r="F620" s="61"/>
      <c r="G620" s="179"/>
      <c r="H620" s="61"/>
      <c r="I620" s="61"/>
      <c r="J620" s="61"/>
      <c r="K620" s="61"/>
      <c r="L620" s="61"/>
      <c r="M620" s="61"/>
      <c r="N620" s="61"/>
      <c r="O620" s="61"/>
      <c r="P620" s="61"/>
      <c r="Q620" s="61"/>
      <c r="R620" s="61"/>
      <c r="S620" s="61"/>
      <c r="T620" s="61"/>
      <c r="U620" s="61"/>
      <c r="V620" s="61"/>
      <c r="W620" s="61"/>
      <c r="X620" s="61"/>
      <c r="Y620" s="61"/>
      <c r="Z620" s="61"/>
    </row>
    <row r="621" spans="1:26" ht="13">
      <c r="A621" s="61"/>
      <c r="B621" s="61"/>
      <c r="C621" s="61"/>
      <c r="D621" s="61"/>
      <c r="E621" s="61"/>
      <c r="F621" s="61"/>
      <c r="G621" s="179"/>
      <c r="H621" s="61"/>
      <c r="I621" s="61"/>
      <c r="J621" s="61"/>
      <c r="K621" s="61"/>
      <c r="L621" s="61"/>
      <c r="M621" s="61"/>
      <c r="N621" s="61"/>
      <c r="O621" s="61"/>
      <c r="P621" s="61"/>
      <c r="Q621" s="61"/>
      <c r="R621" s="61"/>
      <c r="S621" s="61"/>
      <c r="T621" s="61"/>
      <c r="U621" s="61"/>
      <c r="V621" s="61"/>
      <c r="W621" s="61"/>
      <c r="X621" s="61"/>
      <c r="Y621" s="61"/>
      <c r="Z621" s="61"/>
    </row>
    <row r="622" spans="1:26" ht="13">
      <c r="A622" s="61"/>
      <c r="B622" s="61"/>
      <c r="C622" s="61"/>
      <c r="D622" s="61"/>
      <c r="E622" s="61"/>
      <c r="F622" s="61"/>
      <c r="G622" s="179"/>
      <c r="H622" s="61"/>
      <c r="I622" s="61"/>
      <c r="J622" s="61"/>
      <c r="K622" s="61"/>
      <c r="L622" s="61"/>
      <c r="M622" s="61"/>
      <c r="N622" s="61"/>
      <c r="O622" s="61"/>
      <c r="P622" s="61"/>
      <c r="Q622" s="61"/>
      <c r="R622" s="61"/>
      <c r="S622" s="61"/>
      <c r="T622" s="61"/>
      <c r="U622" s="61"/>
      <c r="V622" s="61"/>
      <c r="W622" s="61"/>
      <c r="X622" s="61"/>
      <c r="Y622" s="61"/>
      <c r="Z622" s="61"/>
    </row>
    <row r="623" spans="1:26" ht="13">
      <c r="A623" s="61"/>
      <c r="B623" s="61"/>
      <c r="C623" s="61"/>
      <c r="D623" s="61"/>
      <c r="E623" s="61"/>
      <c r="F623" s="61"/>
      <c r="G623" s="179"/>
      <c r="H623" s="61"/>
      <c r="I623" s="61"/>
      <c r="J623" s="61"/>
      <c r="K623" s="61"/>
      <c r="L623" s="61"/>
      <c r="M623" s="61"/>
      <c r="N623" s="61"/>
      <c r="O623" s="61"/>
      <c r="P623" s="61"/>
      <c r="Q623" s="61"/>
      <c r="R623" s="61"/>
      <c r="S623" s="61"/>
      <c r="T623" s="61"/>
      <c r="U623" s="61"/>
      <c r="V623" s="61"/>
      <c r="W623" s="61"/>
      <c r="X623" s="61"/>
      <c r="Y623" s="61"/>
      <c r="Z623" s="61"/>
    </row>
    <row r="624" spans="1:26" ht="13">
      <c r="A624" s="61"/>
      <c r="B624" s="61"/>
      <c r="C624" s="61"/>
      <c r="D624" s="61"/>
      <c r="E624" s="61"/>
      <c r="F624" s="61"/>
      <c r="G624" s="179"/>
      <c r="H624" s="61"/>
      <c r="I624" s="61"/>
      <c r="J624" s="61"/>
      <c r="K624" s="61"/>
      <c r="L624" s="61"/>
      <c r="M624" s="61"/>
      <c r="N624" s="61"/>
      <c r="O624" s="61"/>
      <c r="P624" s="61"/>
      <c r="Q624" s="61"/>
      <c r="R624" s="61"/>
      <c r="S624" s="61"/>
      <c r="T624" s="61"/>
      <c r="U624" s="61"/>
      <c r="V624" s="61"/>
      <c r="W624" s="61"/>
      <c r="X624" s="61"/>
      <c r="Y624" s="61"/>
      <c r="Z624" s="61"/>
    </row>
    <row r="625" spans="1:26" ht="13">
      <c r="A625" s="61"/>
      <c r="B625" s="61"/>
      <c r="C625" s="61"/>
      <c r="D625" s="61"/>
      <c r="E625" s="61"/>
      <c r="F625" s="61"/>
      <c r="G625" s="179"/>
      <c r="H625" s="61"/>
      <c r="I625" s="61"/>
      <c r="J625" s="61"/>
      <c r="K625" s="61"/>
      <c r="L625" s="61"/>
      <c r="M625" s="61"/>
      <c r="N625" s="61"/>
      <c r="O625" s="61"/>
      <c r="P625" s="61"/>
      <c r="Q625" s="61"/>
      <c r="R625" s="61"/>
      <c r="S625" s="61"/>
      <c r="T625" s="61"/>
      <c r="U625" s="61"/>
      <c r="V625" s="61"/>
      <c r="W625" s="61"/>
      <c r="X625" s="61"/>
      <c r="Y625" s="61"/>
      <c r="Z625" s="61"/>
    </row>
    <row r="626" spans="1:26" ht="13">
      <c r="A626" s="61"/>
      <c r="B626" s="61"/>
      <c r="C626" s="61"/>
      <c r="D626" s="61"/>
      <c r="E626" s="61"/>
      <c r="F626" s="61"/>
      <c r="G626" s="179"/>
      <c r="H626" s="61"/>
      <c r="I626" s="61"/>
      <c r="J626" s="61"/>
      <c r="K626" s="61"/>
      <c r="L626" s="61"/>
      <c r="M626" s="61"/>
      <c r="N626" s="61"/>
      <c r="O626" s="61"/>
      <c r="P626" s="61"/>
      <c r="Q626" s="61"/>
      <c r="R626" s="61"/>
      <c r="S626" s="61"/>
      <c r="T626" s="61"/>
      <c r="U626" s="61"/>
      <c r="V626" s="61"/>
      <c r="W626" s="61"/>
      <c r="X626" s="61"/>
      <c r="Y626" s="61"/>
      <c r="Z626" s="61"/>
    </row>
    <row r="627" spans="1:26" ht="13">
      <c r="A627" s="61"/>
      <c r="B627" s="61"/>
      <c r="C627" s="61"/>
      <c r="D627" s="61"/>
      <c r="E627" s="61"/>
      <c r="F627" s="61"/>
      <c r="G627" s="179"/>
      <c r="H627" s="61"/>
      <c r="I627" s="61"/>
      <c r="J627" s="61"/>
      <c r="K627" s="61"/>
      <c r="L627" s="61"/>
      <c r="M627" s="61"/>
      <c r="N627" s="61"/>
      <c r="O627" s="61"/>
      <c r="P627" s="61"/>
      <c r="Q627" s="61"/>
      <c r="R627" s="61"/>
      <c r="S627" s="61"/>
      <c r="T627" s="61"/>
      <c r="U627" s="61"/>
      <c r="V627" s="61"/>
      <c r="W627" s="61"/>
      <c r="X627" s="61"/>
      <c r="Y627" s="61"/>
      <c r="Z627" s="61"/>
    </row>
    <row r="628" spans="1:26" ht="13">
      <c r="A628" s="61"/>
      <c r="B628" s="61"/>
      <c r="C628" s="61"/>
      <c r="D628" s="61"/>
      <c r="E628" s="61"/>
      <c r="F628" s="61"/>
      <c r="G628" s="179"/>
      <c r="H628" s="61"/>
      <c r="I628" s="61"/>
      <c r="J628" s="61"/>
      <c r="K628" s="61"/>
      <c r="L628" s="61"/>
      <c r="M628" s="61"/>
      <c r="N628" s="61"/>
      <c r="O628" s="61"/>
      <c r="P628" s="61"/>
      <c r="Q628" s="61"/>
      <c r="R628" s="61"/>
      <c r="S628" s="61"/>
      <c r="T628" s="61"/>
      <c r="U628" s="61"/>
      <c r="V628" s="61"/>
      <c r="W628" s="61"/>
      <c r="X628" s="61"/>
      <c r="Y628" s="61"/>
      <c r="Z628" s="61"/>
    </row>
    <row r="629" spans="1:26" ht="13">
      <c r="A629" s="61"/>
      <c r="B629" s="61"/>
      <c r="C629" s="61"/>
      <c r="D629" s="61"/>
      <c r="E629" s="61"/>
      <c r="F629" s="61"/>
      <c r="G629" s="179"/>
      <c r="H629" s="61"/>
      <c r="I629" s="61"/>
      <c r="J629" s="61"/>
      <c r="K629" s="61"/>
      <c r="L629" s="61"/>
      <c r="M629" s="61"/>
      <c r="N629" s="61"/>
      <c r="O629" s="61"/>
      <c r="P629" s="61"/>
      <c r="Q629" s="61"/>
      <c r="R629" s="61"/>
      <c r="S629" s="61"/>
      <c r="T629" s="61"/>
      <c r="U629" s="61"/>
      <c r="V629" s="61"/>
      <c r="W629" s="61"/>
      <c r="X629" s="61"/>
      <c r="Y629" s="61"/>
      <c r="Z629" s="61"/>
    </row>
    <row r="630" spans="1:26" ht="13">
      <c r="A630" s="61"/>
      <c r="B630" s="61"/>
      <c r="C630" s="61"/>
      <c r="D630" s="61"/>
      <c r="E630" s="61"/>
      <c r="F630" s="61"/>
      <c r="G630" s="179"/>
      <c r="H630" s="61"/>
      <c r="I630" s="61"/>
      <c r="J630" s="61"/>
      <c r="K630" s="61"/>
      <c r="L630" s="61"/>
      <c r="M630" s="61"/>
      <c r="N630" s="61"/>
      <c r="O630" s="61"/>
      <c r="P630" s="61"/>
      <c r="Q630" s="61"/>
      <c r="R630" s="61"/>
      <c r="S630" s="61"/>
      <c r="T630" s="61"/>
      <c r="U630" s="61"/>
      <c r="V630" s="61"/>
      <c r="W630" s="61"/>
      <c r="X630" s="61"/>
      <c r="Y630" s="61"/>
      <c r="Z630" s="61"/>
    </row>
    <row r="631" spans="1:26" ht="13">
      <c r="A631" s="61"/>
      <c r="B631" s="61"/>
      <c r="C631" s="61"/>
      <c r="D631" s="61"/>
      <c r="E631" s="61"/>
      <c r="F631" s="61"/>
      <c r="G631" s="179"/>
      <c r="H631" s="61"/>
      <c r="I631" s="61"/>
      <c r="J631" s="61"/>
      <c r="K631" s="61"/>
      <c r="L631" s="61"/>
      <c r="M631" s="61"/>
      <c r="N631" s="61"/>
      <c r="O631" s="61"/>
      <c r="P631" s="61"/>
      <c r="Q631" s="61"/>
      <c r="R631" s="61"/>
      <c r="S631" s="61"/>
      <c r="T631" s="61"/>
      <c r="U631" s="61"/>
      <c r="V631" s="61"/>
      <c r="W631" s="61"/>
      <c r="X631" s="61"/>
      <c r="Y631" s="61"/>
      <c r="Z631" s="61"/>
    </row>
    <row r="632" spans="1:26" ht="13">
      <c r="A632" s="61"/>
      <c r="B632" s="61"/>
      <c r="C632" s="61"/>
      <c r="D632" s="61"/>
      <c r="E632" s="61"/>
      <c r="F632" s="61"/>
      <c r="G632" s="179"/>
      <c r="H632" s="61"/>
      <c r="I632" s="61"/>
      <c r="J632" s="61"/>
      <c r="K632" s="61"/>
      <c r="L632" s="61"/>
      <c r="M632" s="61"/>
      <c r="N632" s="61"/>
      <c r="O632" s="61"/>
      <c r="P632" s="61"/>
      <c r="Q632" s="61"/>
      <c r="R632" s="61"/>
      <c r="S632" s="61"/>
      <c r="T632" s="61"/>
      <c r="U632" s="61"/>
      <c r="V632" s="61"/>
      <c r="W632" s="61"/>
      <c r="X632" s="61"/>
      <c r="Y632" s="61"/>
      <c r="Z632" s="61"/>
    </row>
    <row r="633" spans="1:26" ht="13">
      <c r="A633" s="61"/>
      <c r="B633" s="61"/>
      <c r="C633" s="61"/>
      <c r="D633" s="61"/>
      <c r="E633" s="61"/>
      <c r="F633" s="61"/>
      <c r="G633" s="179"/>
      <c r="H633" s="61"/>
      <c r="I633" s="61"/>
      <c r="J633" s="61"/>
      <c r="K633" s="61"/>
      <c r="L633" s="61"/>
      <c r="M633" s="61"/>
      <c r="N633" s="61"/>
      <c r="O633" s="61"/>
      <c r="P633" s="61"/>
      <c r="Q633" s="61"/>
      <c r="R633" s="61"/>
      <c r="S633" s="61"/>
      <c r="T633" s="61"/>
      <c r="U633" s="61"/>
      <c r="V633" s="61"/>
      <c r="W633" s="61"/>
      <c r="X633" s="61"/>
      <c r="Y633" s="61"/>
      <c r="Z633" s="61"/>
    </row>
    <row r="634" spans="1:26" ht="13">
      <c r="A634" s="61"/>
      <c r="B634" s="61"/>
      <c r="C634" s="61"/>
      <c r="D634" s="61"/>
      <c r="E634" s="61"/>
      <c r="F634" s="61"/>
      <c r="G634" s="179"/>
      <c r="H634" s="61"/>
      <c r="I634" s="61"/>
      <c r="J634" s="61"/>
      <c r="K634" s="61"/>
      <c r="L634" s="61"/>
      <c r="M634" s="61"/>
      <c r="N634" s="61"/>
      <c r="O634" s="61"/>
      <c r="P634" s="61"/>
      <c r="Q634" s="61"/>
      <c r="R634" s="61"/>
      <c r="S634" s="61"/>
      <c r="T634" s="61"/>
      <c r="U634" s="61"/>
      <c r="V634" s="61"/>
      <c r="W634" s="61"/>
      <c r="X634" s="61"/>
      <c r="Y634" s="61"/>
      <c r="Z634" s="61"/>
    </row>
    <row r="635" spans="1:26" ht="13">
      <c r="A635" s="61"/>
      <c r="B635" s="61"/>
      <c r="C635" s="61"/>
      <c r="D635" s="61"/>
      <c r="E635" s="61"/>
      <c r="F635" s="61"/>
      <c r="G635" s="179"/>
      <c r="H635" s="61"/>
      <c r="I635" s="61"/>
      <c r="J635" s="61"/>
      <c r="K635" s="61"/>
      <c r="L635" s="61"/>
      <c r="M635" s="61"/>
      <c r="N635" s="61"/>
      <c r="O635" s="61"/>
      <c r="P635" s="61"/>
      <c r="Q635" s="61"/>
      <c r="R635" s="61"/>
      <c r="S635" s="61"/>
      <c r="T635" s="61"/>
      <c r="U635" s="61"/>
      <c r="V635" s="61"/>
      <c r="W635" s="61"/>
      <c r="X635" s="61"/>
      <c r="Y635" s="61"/>
      <c r="Z635" s="61"/>
    </row>
    <row r="636" spans="1:26" ht="13">
      <c r="A636" s="61"/>
      <c r="B636" s="61"/>
      <c r="C636" s="61"/>
      <c r="D636" s="61"/>
      <c r="E636" s="61"/>
      <c r="F636" s="61"/>
      <c r="G636" s="179"/>
      <c r="H636" s="61"/>
      <c r="I636" s="61"/>
      <c r="J636" s="61"/>
      <c r="K636" s="61"/>
      <c r="L636" s="61"/>
      <c r="M636" s="61"/>
      <c r="N636" s="61"/>
      <c r="O636" s="61"/>
      <c r="P636" s="61"/>
      <c r="Q636" s="61"/>
      <c r="R636" s="61"/>
      <c r="S636" s="61"/>
      <c r="T636" s="61"/>
      <c r="U636" s="61"/>
      <c r="V636" s="61"/>
      <c r="W636" s="61"/>
      <c r="X636" s="61"/>
      <c r="Y636" s="61"/>
      <c r="Z636" s="61"/>
    </row>
    <row r="637" spans="1:26" ht="13">
      <c r="A637" s="61"/>
      <c r="B637" s="61"/>
      <c r="C637" s="61"/>
      <c r="D637" s="61"/>
      <c r="E637" s="61"/>
      <c r="F637" s="61"/>
      <c r="G637" s="179"/>
      <c r="H637" s="61"/>
      <c r="I637" s="61"/>
      <c r="J637" s="61"/>
      <c r="K637" s="61"/>
      <c r="L637" s="61"/>
      <c r="M637" s="61"/>
      <c r="N637" s="61"/>
      <c r="O637" s="61"/>
      <c r="P637" s="61"/>
      <c r="Q637" s="61"/>
      <c r="R637" s="61"/>
      <c r="S637" s="61"/>
      <c r="T637" s="61"/>
      <c r="U637" s="61"/>
      <c r="V637" s="61"/>
      <c r="W637" s="61"/>
      <c r="X637" s="61"/>
      <c r="Y637" s="61"/>
      <c r="Z637" s="61"/>
    </row>
    <row r="638" spans="1:26" ht="13">
      <c r="A638" s="61"/>
      <c r="B638" s="61"/>
      <c r="C638" s="61"/>
      <c r="D638" s="61"/>
      <c r="E638" s="61"/>
      <c r="F638" s="61"/>
      <c r="G638" s="179"/>
      <c r="H638" s="61"/>
      <c r="I638" s="61"/>
      <c r="J638" s="61"/>
      <c r="K638" s="61"/>
      <c r="L638" s="61"/>
      <c r="M638" s="61"/>
      <c r="N638" s="61"/>
      <c r="O638" s="61"/>
      <c r="P638" s="61"/>
      <c r="Q638" s="61"/>
      <c r="R638" s="61"/>
      <c r="S638" s="61"/>
      <c r="T638" s="61"/>
      <c r="U638" s="61"/>
      <c r="V638" s="61"/>
      <c r="W638" s="61"/>
      <c r="X638" s="61"/>
      <c r="Y638" s="61"/>
      <c r="Z638" s="61"/>
    </row>
    <row r="639" spans="1:26" ht="13">
      <c r="A639" s="61"/>
      <c r="B639" s="61"/>
      <c r="C639" s="61"/>
      <c r="D639" s="61"/>
      <c r="E639" s="61"/>
      <c r="F639" s="61"/>
      <c r="G639" s="179"/>
      <c r="H639" s="61"/>
      <c r="I639" s="61"/>
      <c r="J639" s="61"/>
      <c r="K639" s="61"/>
      <c r="L639" s="61"/>
      <c r="M639" s="61"/>
      <c r="N639" s="61"/>
      <c r="O639" s="61"/>
      <c r="P639" s="61"/>
      <c r="Q639" s="61"/>
      <c r="R639" s="61"/>
      <c r="S639" s="61"/>
      <c r="T639" s="61"/>
      <c r="U639" s="61"/>
      <c r="V639" s="61"/>
      <c r="W639" s="61"/>
      <c r="X639" s="61"/>
      <c r="Y639" s="61"/>
      <c r="Z639" s="61"/>
    </row>
    <row r="640" spans="1:26" ht="13">
      <c r="A640" s="61"/>
      <c r="B640" s="61"/>
      <c r="C640" s="61"/>
      <c r="D640" s="61"/>
      <c r="E640" s="61"/>
      <c r="F640" s="61"/>
      <c r="G640" s="179"/>
      <c r="H640" s="61"/>
      <c r="I640" s="61"/>
      <c r="J640" s="61"/>
      <c r="K640" s="61"/>
      <c r="L640" s="61"/>
      <c r="M640" s="61"/>
      <c r="N640" s="61"/>
      <c r="O640" s="61"/>
      <c r="P640" s="61"/>
      <c r="Q640" s="61"/>
      <c r="R640" s="61"/>
      <c r="S640" s="61"/>
      <c r="T640" s="61"/>
      <c r="U640" s="61"/>
      <c r="V640" s="61"/>
      <c r="W640" s="61"/>
      <c r="X640" s="61"/>
      <c r="Y640" s="61"/>
      <c r="Z640" s="61"/>
    </row>
    <row r="641" spans="1:26" ht="13">
      <c r="A641" s="61"/>
      <c r="B641" s="61"/>
      <c r="C641" s="61"/>
      <c r="D641" s="61"/>
      <c r="E641" s="61"/>
      <c r="F641" s="61"/>
      <c r="G641" s="179"/>
      <c r="H641" s="61"/>
      <c r="I641" s="61"/>
      <c r="J641" s="61"/>
      <c r="K641" s="61"/>
      <c r="L641" s="61"/>
      <c r="M641" s="61"/>
      <c r="N641" s="61"/>
      <c r="O641" s="61"/>
      <c r="P641" s="61"/>
      <c r="Q641" s="61"/>
      <c r="R641" s="61"/>
      <c r="S641" s="61"/>
      <c r="T641" s="61"/>
      <c r="U641" s="61"/>
      <c r="V641" s="61"/>
      <c r="W641" s="61"/>
      <c r="X641" s="61"/>
      <c r="Y641" s="61"/>
      <c r="Z641" s="61"/>
    </row>
    <row r="642" spans="1:26" ht="13">
      <c r="A642" s="61"/>
      <c r="B642" s="61"/>
      <c r="C642" s="61"/>
      <c r="D642" s="61"/>
      <c r="E642" s="61"/>
      <c r="F642" s="61"/>
      <c r="G642" s="179"/>
      <c r="H642" s="61"/>
      <c r="I642" s="61"/>
      <c r="J642" s="61"/>
      <c r="K642" s="61"/>
      <c r="L642" s="61"/>
      <c r="M642" s="61"/>
      <c r="N642" s="61"/>
      <c r="O642" s="61"/>
      <c r="P642" s="61"/>
      <c r="Q642" s="61"/>
      <c r="R642" s="61"/>
      <c r="S642" s="61"/>
      <c r="T642" s="61"/>
      <c r="U642" s="61"/>
      <c r="V642" s="61"/>
      <c r="W642" s="61"/>
      <c r="X642" s="61"/>
      <c r="Y642" s="61"/>
      <c r="Z642" s="61"/>
    </row>
    <row r="643" spans="1:26" ht="13">
      <c r="A643" s="61"/>
      <c r="B643" s="61"/>
      <c r="C643" s="61"/>
      <c r="D643" s="61"/>
      <c r="E643" s="61"/>
      <c r="F643" s="61"/>
      <c r="G643" s="179"/>
      <c r="H643" s="61"/>
      <c r="I643" s="61"/>
      <c r="J643" s="61"/>
      <c r="K643" s="61"/>
      <c r="L643" s="61"/>
      <c r="M643" s="61"/>
      <c r="N643" s="61"/>
      <c r="O643" s="61"/>
      <c r="P643" s="61"/>
      <c r="Q643" s="61"/>
      <c r="R643" s="61"/>
      <c r="S643" s="61"/>
      <c r="T643" s="61"/>
      <c r="U643" s="61"/>
      <c r="V643" s="61"/>
      <c r="W643" s="61"/>
      <c r="X643" s="61"/>
      <c r="Y643" s="61"/>
      <c r="Z643" s="61"/>
    </row>
    <row r="644" spans="1:26" ht="13">
      <c r="A644" s="61"/>
      <c r="B644" s="61"/>
      <c r="C644" s="61"/>
      <c r="D644" s="61"/>
      <c r="E644" s="61"/>
      <c r="F644" s="61"/>
      <c r="G644" s="179"/>
      <c r="H644" s="61"/>
      <c r="I644" s="61"/>
      <c r="J644" s="61"/>
      <c r="K644" s="61"/>
      <c r="L644" s="61"/>
      <c r="M644" s="61"/>
      <c r="N644" s="61"/>
      <c r="O644" s="61"/>
      <c r="P644" s="61"/>
      <c r="Q644" s="61"/>
      <c r="R644" s="61"/>
      <c r="S644" s="61"/>
      <c r="T644" s="61"/>
      <c r="U644" s="61"/>
      <c r="V644" s="61"/>
      <c r="W644" s="61"/>
      <c r="X644" s="61"/>
      <c r="Y644" s="61"/>
      <c r="Z644" s="61"/>
    </row>
    <row r="645" spans="1:26" ht="13">
      <c r="A645" s="61"/>
      <c r="B645" s="61"/>
      <c r="C645" s="61"/>
      <c r="D645" s="61"/>
      <c r="E645" s="61"/>
      <c r="F645" s="61"/>
      <c r="G645" s="179"/>
      <c r="H645" s="61"/>
      <c r="I645" s="61"/>
      <c r="J645" s="61"/>
      <c r="K645" s="61"/>
      <c r="L645" s="61"/>
      <c r="M645" s="61"/>
      <c r="N645" s="61"/>
      <c r="O645" s="61"/>
      <c r="P645" s="61"/>
      <c r="Q645" s="61"/>
      <c r="R645" s="61"/>
      <c r="S645" s="61"/>
      <c r="T645" s="61"/>
      <c r="U645" s="61"/>
      <c r="V645" s="61"/>
      <c r="W645" s="61"/>
      <c r="X645" s="61"/>
      <c r="Y645" s="61"/>
      <c r="Z645" s="61"/>
    </row>
    <row r="646" spans="1:26" ht="13">
      <c r="A646" s="61"/>
      <c r="B646" s="61"/>
      <c r="C646" s="61"/>
      <c r="D646" s="61"/>
      <c r="E646" s="61"/>
      <c r="F646" s="61"/>
      <c r="G646" s="179"/>
      <c r="H646" s="61"/>
      <c r="I646" s="61"/>
      <c r="J646" s="61"/>
      <c r="K646" s="61"/>
      <c r="L646" s="61"/>
      <c r="M646" s="61"/>
      <c r="N646" s="61"/>
      <c r="O646" s="61"/>
      <c r="P646" s="61"/>
      <c r="Q646" s="61"/>
      <c r="R646" s="61"/>
      <c r="S646" s="61"/>
      <c r="T646" s="61"/>
      <c r="U646" s="61"/>
      <c r="V646" s="61"/>
      <c r="W646" s="61"/>
      <c r="X646" s="61"/>
      <c r="Y646" s="61"/>
      <c r="Z646" s="61"/>
    </row>
    <row r="647" spans="1:26" ht="13">
      <c r="A647" s="61"/>
      <c r="B647" s="61"/>
      <c r="C647" s="61"/>
      <c r="D647" s="61"/>
      <c r="E647" s="61"/>
      <c r="F647" s="61"/>
      <c r="G647" s="179"/>
      <c r="H647" s="61"/>
      <c r="I647" s="61"/>
      <c r="J647" s="61"/>
      <c r="K647" s="61"/>
      <c r="L647" s="61"/>
      <c r="M647" s="61"/>
      <c r="N647" s="61"/>
      <c r="O647" s="61"/>
      <c r="P647" s="61"/>
      <c r="Q647" s="61"/>
      <c r="R647" s="61"/>
      <c r="S647" s="61"/>
      <c r="T647" s="61"/>
      <c r="U647" s="61"/>
      <c r="V647" s="61"/>
      <c r="W647" s="61"/>
      <c r="X647" s="61"/>
      <c r="Y647" s="61"/>
      <c r="Z647" s="61"/>
    </row>
    <row r="648" spans="1:26" ht="13">
      <c r="A648" s="61"/>
      <c r="B648" s="61"/>
      <c r="C648" s="61"/>
      <c r="D648" s="61"/>
      <c r="E648" s="61"/>
      <c r="F648" s="61"/>
      <c r="G648" s="179"/>
      <c r="H648" s="61"/>
      <c r="I648" s="61"/>
      <c r="J648" s="61"/>
      <c r="K648" s="61"/>
      <c r="L648" s="61"/>
      <c r="M648" s="61"/>
      <c r="N648" s="61"/>
      <c r="O648" s="61"/>
      <c r="P648" s="61"/>
      <c r="Q648" s="61"/>
      <c r="R648" s="61"/>
      <c r="S648" s="61"/>
      <c r="T648" s="61"/>
      <c r="U648" s="61"/>
      <c r="V648" s="61"/>
      <c r="W648" s="61"/>
      <c r="X648" s="61"/>
      <c r="Y648" s="61"/>
      <c r="Z648" s="61"/>
    </row>
    <row r="649" spans="1:26" ht="13">
      <c r="A649" s="61"/>
      <c r="B649" s="61"/>
      <c r="C649" s="61"/>
      <c r="D649" s="61"/>
      <c r="E649" s="61"/>
      <c r="F649" s="61"/>
      <c r="G649" s="179"/>
      <c r="H649" s="61"/>
      <c r="I649" s="61"/>
      <c r="J649" s="61"/>
      <c r="K649" s="61"/>
      <c r="L649" s="61"/>
      <c r="M649" s="61"/>
      <c r="N649" s="61"/>
      <c r="O649" s="61"/>
      <c r="P649" s="61"/>
      <c r="Q649" s="61"/>
      <c r="R649" s="61"/>
      <c r="S649" s="61"/>
      <c r="T649" s="61"/>
      <c r="U649" s="61"/>
      <c r="V649" s="61"/>
      <c r="W649" s="61"/>
      <c r="X649" s="61"/>
      <c r="Y649" s="61"/>
      <c r="Z649" s="61"/>
    </row>
    <row r="650" spans="1:26" ht="13">
      <c r="A650" s="61"/>
      <c r="B650" s="61"/>
      <c r="C650" s="61"/>
      <c r="D650" s="61"/>
      <c r="E650" s="61"/>
      <c r="F650" s="61"/>
      <c r="G650" s="179"/>
      <c r="H650" s="61"/>
      <c r="I650" s="61"/>
      <c r="J650" s="61"/>
      <c r="K650" s="61"/>
      <c r="L650" s="61"/>
      <c r="M650" s="61"/>
      <c r="N650" s="61"/>
      <c r="O650" s="61"/>
      <c r="P650" s="61"/>
      <c r="Q650" s="61"/>
      <c r="R650" s="61"/>
      <c r="S650" s="61"/>
      <c r="T650" s="61"/>
      <c r="U650" s="61"/>
      <c r="V650" s="61"/>
      <c r="W650" s="61"/>
      <c r="X650" s="61"/>
      <c r="Y650" s="61"/>
      <c r="Z650" s="61"/>
    </row>
    <row r="651" spans="1:26" ht="13">
      <c r="A651" s="61"/>
      <c r="B651" s="61"/>
      <c r="C651" s="61"/>
      <c r="D651" s="61"/>
      <c r="E651" s="61"/>
      <c r="F651" s="61"/>
      <c r="G651" s="179"/>
      <c r="H651" s="61"/>
      <c r="I651" s="61"/>
      <c r="J651" s="61"/>
      <c r="K651" s="61"/>
      <c r="L651" s="61"/>
      <c r="M651" s="61"/>
      <c r="N651" s="61"/>
      <c r="O651" s="61"/>
      <c r="P651" s="61"/>
      <c r="Q651" s="61"/>
      <c r="R651" s="61"/>
      <c r="S651" s="61"/>
      <c r="T651" s="61"/>
      <c r="U651" s="61"/>
      <c r="V651" s="61"/>
      <c r="W651" s="61"/>
      <c r="X651" s="61"/>
      <c r="Y651" s="61"/>
      <c r="Z651" s="61"/>
    </row>
    <row r="652" spans="1:26" ht="13">
      <c r="A652" s="61"/>
      <c r="B652" s="61"/>
      <c r="C652" s="61"/>
      <c r="D652" s="61"/>
      <c r="E652" s="61"/>
      <c r="F652" s="61"/>
      <c r="G652" s="179"/>
      <c r="H652" s="61"/>
      <c r="I652" s="61"/>
      <c r="J652" s="61"/>
      <c r="K652" s="61"/>
      <c r="L652" s="61"/>
      <c r="M652" s="61"/>
      <c r="N652" s="61"/>
      <c r="O652" s="61"/>
      <c r="P652" s="61"/>
      <c r="Q652" s="61"/>
      <c r="R652" s="61"/>
      <c r="S652" s="61"/>
      <c r="T652" s="61"/>
      <c r="U652" s="61"/>
      <c r="V652" s="61"/>
      <c r="W652" s="61"/>
      <c r="X652" s="61"/>
      <c r="Y652" s="61"/>
      <c r="Z652" s="61"/>
    </row>
    <row r="653" spans="1:26" ht="13">
      <c r="A653" s="61"/>
      <c r="B653" s="61"/>
      <c r="C653" s="61"/>
      <c r="D653" s="61"/>
      <c r="E653" s="61"/>
      <c r="F653" s="61"/>
      <c r="G653" s="179"/>
      <c r="H653" s="61"/>
      <c r="I653" s="61"/>
      <c r="J653" s="61"/>
      <c r="K653" s="61"/>
      <c r="L653" s="61"/>
      <c r="M653" s="61"/>
      <c r="N653" s="61"/>
      <c r="O653" s="61"/>
      <c r="P653" s="61"/>
      <c r="Q653" s="61"/>
      <c r="R653" s="61"/>
      <c r="S653" s="61"/>
      <c r="T653" s="61"/>
      <c r="U653" s="61"/>
      <c r="V653" s="61"/>
      <c r="W653" s="61"/>
      <c r="X653" s="61"/>
      <c r="Y653" s="61"/>
      <c r="Z653" s="61"/>
    </row>
    <row r="654" spans="1:26" ht="13">
      <c r="A654" s="61"/>
      <c r="B654" s="61"/>
      <c r="C654" s="61"/>
      <c r="D654" s="61"/>
      <c r="E654" s="61"/>
      <c r="F654" s="61"/>
      <c r="G654" s="179"/>
      <c r="H654" s="61"/>
      <c r="I654" s="61"/>
      <c r="J654" s="61"/>
      <c r="K654" s="61"/>
      <c r="L654" s="61"/>
      <c r="M654" s="61"/>
      <c r="N654" s="61"/>
      <c r="O654" s="61"/>
      <c r="P654" s="61"/>
      <c r="Q654" s="61"/>
      <c r="R654" s="61"/>
      <c r="S654" s="61"/>
      <c r="T654" s="61"/>
      <c r="U654" s="61"/>
      <c r="V654" s="61"/>
      <c r="W654" s="61"/>
      <c r="X654" s="61"/>
      <c r="Y654" s="61"/>
      <c r="Z654" s="61"/>
    </row>
    <row r="655" spans="1:26" ht="13">
      <c r="A655" s="61"/>
      <c r="B655" s="61"/>
      <c r="C655" s="61"/>
      <c r="D655" s="61"/>
      <c r="E655" s="61"/>
      <c r="F655" s="61"/>
      <c r="G655" s="179"/>
      <c r="H655" s="61"/>
      <c r="I655" s="61"/>
      <c r="J655" s="61"/>
      <c r="K655" s="61"/>
      <c r="L655" s="61"/>
      <c r="M655" s="61"/>
      <c r="N655" s="61"/>
      <c r="O655" s="61"/>
      <c r="P655" s="61"/>
      <c r="Q655" s="61"/>
      <c r="R655" s="61"/>
      <c r="S655" s="61"/>
      <c r="T655" s="61"/>
      <c r="U655" s="61"/>
      <c r="V655" s="61"/>
      <c r="W655" s="61"/>
      <c r="X655" s="61"/>
      <c r="Y655" s="61"/>
      <c r="Z655" s="61"/>
    </row>
    <row r="656" spans="1:26" ht="13">
      <c r="A656" s="61"/>
      <c r="B656" s="61"/>
      <c r="C656" s="61"/>
      <c r="D656" s="61"/>
      <c r="E656" s="61"/>
      <c r="F656" s="61"/>
      <c r="G656" s="179"/>
      <c r="H656" s="61"/>
      <c r="I656" s="61"/>
      <c r="J656" s="61"/>
      <c r="K656" s="61"/>
      <c r="L656" s="61"/>
      <c r="M656" s="61"/>
      <c r="N656" s="61"/>
      <c r="O656" s="61"/>
      <c r="P656" s="61"/>
      <c r="Q656" s="61"/>
      <c r="R656" s="61"/>
      <c r="S656" s="61"/>
      <c r="T656" s="61"/>
      <c r="U656" s="61"/>
      <c r="V656" s="61"/>
      <c r="W656" s="61"/>
      <c r="X656" s="61"/>
      <c r="Y656" s="61"/>
      <c r="Z656" s="61"/>
    </row>
    <row r="657" spans="1:26" ht="13">
      <c r="A657" s="61"/>
      <c r="B657" s="61"/>
      <c r="C657" s="61"/>
      <c r="D657" s="61"/>
      <c r="E657" s="61"/>
      <c r="F657" s="61"/>
      <c r="G657" s="179"/>
      <c r="H657" s="61"/>
      <c r="I657" s="61"/>
      <c r="J657" s="61"/>
      <c r="K657" s="61"/>
      <c r="L657" s="61"/>
      <c r="M657" s="61"/>
      <c r="N657" s="61"/>
      <c r="O657" s="61"/>
      <c r="P657" s="61"/>
      <c r="Q657" s="61"/>
      <c r="R657" s="61"/>
      <c r="S657" s="61"/>
      <c r="T657" s="61"/>
      <c r="U657" s="61"/>
      <c r="V657" s="61"/>
      <c r="W657" s="61"/>
      <c r="X657" s="61"/>
      <c r="Y657" s="61"/>
      <c r="Z657" s="61"/>
    </row>
    <row r="658" spans="1:26" ht="13">
      <c r="A658" s="61"/>
      <c r="B658" s="61"/>
      <c r="C658" s="61"/>
      <c r="D658" s="61"/>
      <c r="E658" s="61"/>
      <c r="F658" s="61"/>
      <c r="G658" s="179"/>
      <c r="H658" s="61"/>
      <c r="I658" s="61"/>
      <c r="J658" s="61"/>
      <c r="K658" s="61"/>
      <c r="L658" s="61"/>
      <c r="M658" s="61"/>
      <c r="N658" s="61"/>
      <c r="O658" s="61"/>
      <c r="P658" s="61"/>
      <c r="Q658" s="61"/>
      <c r="R658" s="61"/>
      <c r="S658" s="61"/>
      <c r="T658" s="61"/>
      <c r="U658" s="61"/>
      <c r="V658" s="61"/>
      <c r="W658" s="61"/>
      <c r="X658" s="61"/>
      <c r="Y658" s="61"/>
      <c r="Z658" s="61"/>
    </row>
    <row r="659" spans="1:26" ht="13">
      <c r="A659" s="61"/>
      <c r="B659" s="61"/>
      <c r="C659" s="61"/>
      <c r="D659" s="61"/>
      <c r="E659" s="61"/>
      <c r="F659" s="61"/>
      <c r="G659" s="179"/>
      <c r="H659" s="61"/>
      <c r="I659" s="61"/>
      <c r="J659" s="61"/>
      <c r="K659" s="61"/>
      <c r="L659" s="61"/>
      <c r="M659" s="61"/>
      <c r="N659" s="61"/>
      <c r="O659" s="61"/>
      <c r="P659" s="61"/>
      <c r="Q659" s="61"/>
      <c r="R659" s="61"/>
      <c r="S659" s="61"/>
      <c r="T659" s="61"/>
      <c r="U659" s="61"/>
      <c r="V659" s="61"/>
      <c r="W659" s="61"/>
      <c r="X659" s="61"/>
      <c r="Y659" s="61"/>
      <c r="Z659" s="61"/>
    </row>
    <row r="660" spans="1:26" ht="13">
      <c r="A660" s="61"/>
      <c r="B660" s="61"/>
      <c r="C660" s="61"/>
      <c r="D660" s="61"/>
      <c r="E660" s="61"/>
      <c r="F660" s="61"/>
      <c r="G660" s="179"/>
      <c r="H660" s="61"/>
      <c r="I660" s="61"/>
      <c r="J660" s="61"/>
      <c r="K660" s="61"/>
      <c r="L660" s="61"/>
      <c r="M660" s="61"/>
      <c r="N660" s="61"/>
      <c r="O660" s="61"/>
      <c r="P660" s="61"/>
      <c r="Q660" s="61"/>
      <c r="R660" s="61"/>
      <c r="S660" s="61"/>
      <c r="T660" s="61"/>
      <c r="U660" s="61"/>
      <c r="V660" s="61"/>
      <c r="W660" s="61"/>
      <c r="X660" s="61"/>
      <c r="Y660" s="61"/>
      <c r="Z660" s="61"/>
    </row>
    <row r="661" spans="1:26" ht="13">
      <c r="A661" s="61"/>
      <c r="B661" s="61"/>
      <c r="C661" s="61"/>
      <c r="D661" s="61"/>
      <c r="E661" s="61"/>
      <c r="F661" s="61"/>
      <c r="G661" s="179"/>
      <c r="H661" s="61"/>
      <c r="I661" s="61"/>
      <c r="J661" s="61"/>
      <c r="K661" s="61"/>
      <c r="L661" s="61"/>
      <c r="M661" s="61"/>
      <c r="N661" s="61"/>
      <c r="O661" s="61"/>
      <c r="P661" s="61"/>
      <c r="Q661" s="61"/>
      <c r="R661" s="61"/>
      <c r="S661" s="61"/>
      <c r="T661" s="61"/>
      <c r="U661" s="61"/>
      <c r="V661" s="61"/>
      <c r="W661" s="61"/>
      <c r="X661" s="61"/>
      <c r="Y661" s="61"/>
      <c r="Z661" s="61"/>
    </row>
    <row r="662" spans="1:26" ht="13">
      <c r="A662" s="61"/>
      <c r="B662" s="61"/>
      <c r="C662" s="61"/>
      <c r="D662" s="61"/>
      <c r="E662" s="61"/>
      <c r="F662" s="61"/>
      <c r="G662" s="179"/>
      <c r="H662" s="61"/>
      <c r="I662" s="61"/>
      <c r="J662" s="61"/>
      <c r="K662" s="61"/>
      <c r="L662" s="61"/>
      <c r="M662" s="61"/>
      <c r="N662" s="61"/>
      <c r="O662" s="61"/>
      <c r="P662" s="61"/>
      <c r="Q662" s="61"/>
      <c r="R662" s="61"/>
      <c r="S662" s="61"/>
      <c r="T662" s="61"/>
      <c r="U662" s="61"/>
      <c r="V662" s="61"/>
      <c r="W662" s="61"/>
      <c r="X662" s="61"/>
      <c r="Y662" s="61"/>
      <c r="Z662" s="61"/>
    </row>
    <row r="663" spans="1:26" ht="13">
      <c r="A663" s="61"/>
      <c r="B663" s="61"/>
      <c r="C663" s="61"/>
      <c r="D663" s="61"/>
      <c r="E663" s="61"/>
      <c r="F663" s="61"/>
      <c r="G663" s="179"/>
      <c r="H663" s="61"/>
      <c r="I663" s="61"/>
      <c r="J663" s="61"/>
      <c r="K663" s="61"/>
      <c r="L663" s="61"/>
      <c r="M663" s="61"/>
      <c r="N663" s="61"/>
      <c r="O663" s="61"/>
      <c r="P663" s="61"/>
      <c r="Q663" s="61"/>
      <c r="R663" s="61"/>
      <c r="S663" s="61"/>
      <c r="T663" s="61"/>
      <c r="U663" s="61"/>
      <c r="V663" s="61"/>
      <c r="W663" s="61"/>
      <c r="X663" s="61"/>
      <c r="Y663" s="61"/>
      <c r="Z663" s="61"/>
    </row>
    <row r="664" spans="1:26" ht="13">
      <c r="A664" s="61"/>
      <c r="B664" s="61"/>
      <c r="C664" s="61"/>
      <c r="D664" s="61"/>
      <c r="E664" s="61"/>
      <c r="F664" s="61"/>
      <c r="G664" s="179"/>
      <c r="H664" s="61"/>
      <c r="I664" s="61"/>
      <c r="J664" s="61"/>
      <c r="K664" s="61"/>
      <c r="L664" s="61"/>
      <c r="M664" s="61"/>
      <c r="N664" s="61"/>
      <c r="O664" s="61"/>
      <c r="P664" s="61"/>
      <c r="Q664" s="61"/>
      <c r="R664" s="61"/>
      <c r="S664" s="61"/>
      <c r="T664" s="61"/>
      <c r="U664" s="61"/>
      <c r="V664" s="61"/>
      <c r="W664" s="61"/>
      <c r="X664" s="61"/>
      <c r="Y664" s="61"/>
      <c r="Z664" s="61"/>
    </row>
    <row r="665" spans="1:26" ht="13">
      <c r="A665" s="61"/>
      <c r="B665" s="61"/>
      <c r="C665" s="61"/>
      <c r="D665" s="61"/>
      <c r="E665" s="61"/>
      <c r="F665" s="61"/>
      <c r="G665" s="179"/>
      <c r="H665" s="61"/>
      <c r="I665" s="61"/>
      <c r="J665" s="61"/>
      <c r="K665" s="61"/>
      <c r="L665" s="61"/>
      <c r="M665" s="61"/>
      <c r="N665" s="61"/>
      <c r="O665" s="61"/>
      <c r="P665" s="61"/>
      <c r="Q665" s="61"/>
      <c r="R665" s="61"/>
      <c r="S665" s="61"/>
      <c r="T665" s="61"/>
      <c r="U665" s="61"/>
      <c r="V665" s="61"/>
      <c r="W665" s="61"/>
      <c r="X665" s="61"/>
      <c r="Y665" s="61"/>
      <c r="Z665" s="61"/>
    </row>
    <row r="666" spans="1:26" ht="13">
      <c r="A666" s="61"/>
      <c r="B666" s="61"/>
      <c r="C666" s="61"/>
      <c r="D666" s="61"/>
      <c r="E666" s="61"/>
      <c r="F666" s="61"/>
      <c r="G666" s="179"/>
      <c r="H666" s="61"/>
      <c r="I666" s="61"/>
      <c r="J666" s="61"/>
      <c r="K666" s="61"/>
      <c r="L666" s="61"/>
      <c r="M666" s="61"/>
      <c r="N666" s="61"/>
      <c r="O666" s="61"/>
      <c r="P666" s="61"/>
      <c r="Q666" s="61"/>
      <c r="R666" s="61"/>
      <c r="S666" s="61"/>
      <c r="T666" s="61"/>
      <c r="U666" s="61"/>
      <c r="V666" s="61"/>
      <c r="W666" s="61"/>
      <c r="X666" s="61"/>
      <c r="Y666" s="61"/>
      <c r="Z666" s="61"/>
    </row>
    <row r="667" spans="1:26" ht="13">
      <c r="A667" s="61"/>
      <c r="B667" s="61"/>
      <c r="C667" s="61"/>
      <c r="D667" s="61"/>
      <c r="E667" s="61"/>
      <c r="F667" s="61"/>
      <c r="G667" s="179"/>
      <c r="H667" s="61"/>
      <c r="I667" s="61"/>
      <c r="J667" s="61"/>
      <c r="K667" s="61"/>
      <c r="L667" s="61"/>
      <c r="M667" s="61"/>
      <c r="N667" s="61"/>
      <c r="O667" s="61"/>
      <c r="P667" s="61"/>
      <c r="Q667" s="61"/>
      <c r="R667" s="61"/>
      <c r="S667" s="61"/>
      <c r="T667" s="61"/>
      <c r="U667" s="61"/>
      <c r="V667" s="61"/>
      <c r="W667" s="61"/>
      <c r="X667" s="61"/>
      <c r="Y667" s="61"/>
      <c r="Z667" s="61"/>
    </row>
    <row r="668" spans="1:26" ht="13">
      <c r="A668" s="61"/>
      <c r="B668" s="61"/>
      <c r="C668" s="61"/>
      <c r="D668" s="61"/>
      <c r="E668" s="61"/>
      <c r="F668" s="61"/>
      <c r="G668" s="179"/>
      <c r="H668" s="61"/>
      <c r="I668" s="61"/>
      <c r="J668" s="61"/>
      <c r="K668" s="61"/>
      <c r="L668" s="61"/>
      <c r="M668" s="61"/>
      <c r="N668" s="61"/>
      <c r="O668" s="61"/>
      <c r="P668" s="61"/>
      <c r="Q668" s="61"/>
      <c r="R668" s="61"/>
      <c r="S668" s="61"/>
      <c r="T668" s="61"/>
      <c r="U668" s="61"/>
      <c r="V668" s="61"/>
      <c r="W668" s="61"/>
      <c r="X668" s="61"/>
      <c r="Y668" s="61"/>
      <c r="Z668" s="61"/>
    </row>
    <row r="669" spans="1:26" ht="13">
      <c r="A669" s="61"/>
      <c r="B669" s="61"/>
      <c r="C669" s="61"/>
      <c r="D669" s="61"/>
      <c r="E669" s="61"/>
      <c r="F669" s="61"/>
      <c r="G669" s="179"/>
      <c r="H669" s="61"/>
      <c r="I669" s="61"/>
      <c r="J669" s="61"/>
      <c r="K669" s="61"/>
      <c r="L669" s="61"/>
      <c r="M669" s="61"/>
      <c r="N669" s="61"/>
      <c r="O669" s="61"/>
      <c r="P669" s="61"/>
      <c r="Q669" s="61"/>
      <c r="R669" s="61"/>
      <c r="S669" s="61"/>
      <c r="T669" s="61"/>
      <c r="U669" s="61"/>
      <c r="V669" s="61"/>
      <c r="W669" s="61"/>
      <c r="X669" s="61"/>
      <c r="Y669" s="61"/>
      <c r="Z669" s="61"/>
    </row>
    <row r="670" spans="1:26" ht="13">
      <c r="A670" s="61"/>
      <c r="B670" s="61"/>
      <c r="C670" s="61"/>
      <c r="D670" s="61"/>
      <c r="E670" s="61"/>
      <c r="F670" s="61"/>
      <c r="G670" s="179"/>
      <c r="H670" s="61"/>
      <c r="I670" s="61"/>
      <c r="J670" s="61"/>
      <c r="K670" s="61"/>
      <c r="L670" s="61"/>
      <c r="M670" s="61"/>
      <c r="N670" s="61"/>
      <c r="O670" s="61"/>
      <c r="P670" s="61"/>
      <c r="Q670" s="61"/>
      <c r="R670" s="61"/>
      <c r="S670" s="61"/>
      <c r="T670" s="61"/>
      <c r="U670" s="61"/>
      <c r="V670" s="61"/>
      <c r="W670" s="61"/>
      <c r="X670" s="61"/>
      <c r="Y670" s="61"/>
      <c r="Z670" s="61"/>
    </row>
    <row r="671" spans="1:26" ht="13">
      <c r="A671" s="61"/>
      <c r="B671" s="61"/>
      <c r="C671" s="61"/>
      <c r="D671" s="61"/>
      <c r="E671" s="61"/>
      <c r="F671" s="61"/>
      <c r="G671" s="179"/>
      <c r="H671" s="61"/>
      <c r="I671" s="61"/>
      <c r="J671" s="61"/>
      <c r="K671" s="61"/>
      <c r="L671" s="61"/>
      <c r="M671" s="61"/>
      <c r="N671" s="61"/>
      <c r="O671" s="61"/>
      <c r="P671" s="61"/>
      <c r="Q671" s="61"/>
      <c r="R671" s="61"/>
      <c r="S671" s="61"/>
      <c r="T671" s="61"/>
      <c r="U671" s="61"/>
      <c r="V671" s="61"/>
      <c r="W671" s="61"/>
      <c r="X671" s="61"/>
      <c r="Y671" s="61"/>
      <c r="Z671" s="61"/>
    </row>
    <row r="672" spans="1:26" ht="13">
      <c r="A672" s="61"/>
      <c r="B672" s="61"/>
      <c r="C672" s="61"/>
      <c r="D672" s="61"/>
      <c r="E672" s="61"/>
      <c r="F672" s="61"/>
      <c r="G672" s="179"/>
      <c r="H672" s="61"/>
      <c r="I672" s="61"/>
      <c r="J672" s="61"/>
      <c r="K672" s="61"/>
      <c r="L672" s="61"/>
      <c r="M672" s="61"/>
      <c r="N672" s="61"/>
      <c r="O672" s="61"/>
      <c r="P672" s="61"/>
      <c r="Q672" s="61"/>
      <c r="R672" s="61"/>
      <c r="S672" s="61"/>
      <c r="T672" s="61"/>
      <c r="U672" s="61"/>
      <c r="V672" s="61"/>
      <c r="W672" s="61"/>
      <c r="X672" s="61"/>
      <c r="Y672" s="61"/>
      <c r="Z672" s="61"/>
    </row>
    <row r="673" spans="1:26" ht="13">
      <c r="A673" s="61"/>
      <c r="B673" s="61"/>
      <c r="C673" s="61"/>
      <c r="D673" s="61"/>
      <c r="E673" s="61"/>
      <c r="F673" s="61"/>
      <c r="G673" s="179"/>
      <c r="H673" s="61"/>
      <c r="I673" s="61"/>
      <c r="J673" s="61"/>
      <c r="K673" s="61"/>
      <c r="L673" s="61"/>
      <c r="M673" s="61"/>
      <c r="N673" s="61"/>
      <c r="O673" s="61"/>
      <c r="P673" s="61"/>
      <c r="Q673" s="61"/>
      <c r="R673" s="61"/>
      <c r="S673" s="61"/>
      <c r="T673" s="61"/>
      <c r="U673" s="61"/>
      <c r="V673" s="61"/>
      <c r="W673" s="61"/>
      <c r="X673" s="61"/>
      <c r="Y673" s="61"/>
      <c r="Z673" s="61"/>
    </row>
    <row r="674" spans="1:26" ht="13">
      <c r="A674" s="61"/>
      <c r="B674" s="61"/>
      <c r="C674" s="61"/>
      <c r="D674" s="61"/>
      <c r="E674" s="61"/>
      <c r="F674" s="61"/>
      <c r="G674" s="179"/>
      <c r="H674" s="61"/>
      <c r="I674" s="61"/>
      <c r="J674" s="61"/>
      <c r="K674" s="61"/>
      <c r="L674" s="61"/>
      <c r="M674" s="61"/>
      <c r="N674" s="61"/>
      <c r="O674" s="61"/>
      <c r="P674" s="61"/>
      <c r="Q674" s="61"/>
      <c r="R674" s="61"/>
      <c r="S674" s="61"/>
      <c r="T674" s="61"/>
      <c r="U674" s="61"/>
      <c r="V674" s="61"/>
      <c r="W674" s="61"/>
      <c r="X674" s="61"/>
      <c r="Y674" s="61"/>
      <c r="Z674" s="61"/>
    </row>
    <row r="675" spans="1:26" ht="13">
      <c r="A675" s="61"/>
      <c r="B675" s="61"/>
      <c r="C675" s="61"/>
      <c r="D675" s="61"/>
      <c r="E675" s="61"/>
      <c r="F675" s="61"/>
      <c r="G675" s="179"/>
      <c r="H675" s="61"/>
      <c r="I675" s="61"/>
      <c r="J675" s="61"/>
      <c r="K675" s="61"/>
      <c r="L675" s="61"/>
      <c r="M675" s="61"/>
      <c r="N675" s="61"/>
      <c r="O675" s="61"/>
      <c r="P675" s="61"/>
      <c r="Q675" s="61"/>
      <c r="R675" s="61"/>
      <c r="S675" s="61"/>
      <c r="T675" s="61"/>
      <c r="U675" s="61"/>
      <c r="V675" s="61"/>
      <c r="W675" s="61"/>
      <c r="X675" s="61"/>
      <c r="Y675" s="61"/>
      <c r="Z675" s="61"/>
    </row>
    <row r="676" spans="1:26" ht="13">
      <c r="A676" s="61"/>
      <c r="B676" s="61"/>
      <c r="C676" s="61"/>
      <c r="D676" s="61"/>
      <c r="E676" s="61"/>
      <c r="F676" s="61"/>
      <c r="G676" s="179"/>
      <c r="H676" s="61"/>
      <c r="I676" s="61"/>
      <c r="J676" s="61"/>
      <c r="K676" s="61"/>
      <c r="L676" s="61"/>
      <c r="M676" s="61"/>
      <c r="N676" s="61"/>
      <c r="O676" s="61"/>
      <c r="P676" s="61"/>
      <c r="Q676" s="61"/>
      <c r="R676" s="61"/>
      <c r="S676" s="61"/>
      <c r="T676" s="61"/>
      <c r="U676" s="61"/>
      <c r="V676" s="61"/>
      <c r="W676" s="61"/>
      <c r="X676" s="61"/>
      <c r="Y676" s="61"/>
      <c r="Z676" s="61"/>
    </row>
    <row r="677" spans="1:26" ht="13">
      <c r="A677" s="61"/>
      <c r="B677" s="61"/>
      <c r="C677" s="61"/>
      <c r="D677" s="61"/>
      <c r="E677" s="61"/>
      <c r="F677" s="61"/>
      <c r="G677" s="179"/>
      <c r="H677" s="61"/>
      <c r="I677" s="61"/>
      <c r="J677" s="61"/>
      <c r="K677" s="61"/>
      <c r="L677" s="61"/>
      <c r="M677" s="61"/>
      <c r="N677" s="61"/>
      <c r="O677" s="61"/>
      <c r="P677" s="61"/>
      <c r="Q677" s="61"/>
      <c r="R677" s="61"/>
      <c r="S677" s="61"/>
      <c r="T677" s="61"/>
      <c r="U677" s="61"/>
      <c r="V677" s="61"/>
      <c r="W677" s="61"/>
      <c r="X677" s="61"/>
      <c r="Y677" s="61"/>
      <c r="Z677" s="61"/>
    </row>
    <row r="678" spans="1:26" ht="13">
      <c r="A678" s="61"/>
      <c r="B678" s="61"/>
      <c r="C678" s="61"/>
      <c r="D678" s="61"/>
      <c r="E678" s="61"/>
      <c r="F678" s="61"/>
      <c r="G678" s="179"/>
      <c r="H678" s="61"/>
      <c r="I678" s="61"/>
      <c r="J678" s="61"/>
      <c r="K678" s="61"/>
      <c r="L678" s="61"/>
      <c r="M678" s="61"/>
      <c r="N678" s="61"/>
      <c r="O678" s="61"/>
      <c r="P678" s="61"/>
      <c r="Q678" s="61"/>
      <c r="R678" s="61"/>
      <c r="S678" s="61"/>
      <c r="T678" s="61"/>
      <c r="U678" s="61"/>
      <c r="V678" s="61"/>
      <c r="W678" s="61"/>
      <c r="X678" s="61"/>
      <c r="Y678" s="61"/>
      <c r="Z678" s="61"/>
    </row>
    <row r="679" spans="1:26" ht="13">
      <c r="A679" s="61"/>
      <c r="B679" s="61"/>
      <c r="C679" s="61"/>
      <c r="D679" s="61"/>
      <c r="E679" s="61"/>
      <c r="F679" s="61"/>
      <c r="G679" s="179"/>
      <c r="H679" s="61"/>
      <c r="I679" s="61"/>
      <c r="J679" s="61"/>
      <c r="K679" s="61"/>
      <c r="L679" s="61"/>
      <c r="M679" s="61"/>
      <c r="N679" s="61"/>
      <c r="O679" s="61"/>
      <c r="P679" s="61"/>
      <c r="Q679" s="61"/>
      <c r="R679" s="61"/>
      <c r="S679" s="61"/>
      <c r="T679" s="61"/>
      <c r="U679" s="61"/>
      <c r="V679" s="61"/>
      <c r="W679" s="61"/>
      <c r="X679" s="61"/>
      <c r="Y679" s="61"/>
      <c r="Z679" s="61"/>
    </row>
    <row r="680" spans="1:26" ht="13">
      <c r="A680" s="61"/>
      <c r="B680" s="61"/>
      <c r="C680" s="61"/>
      <c r="D680" s="61"/>
      <c r="E680" s="61"/>
      <c r="F680" s="61"/>
      <c r="G680" s="179"/>
      <c r="H680" s="61"/>
      <c r="I680" s="61"/>
      <c r="J680" s="61"/>
      <c r="K680" s="61"/>
      <c r="L680" s="61"/>
      <c r="M680" s="61"/>
      <c r="N680" s="61"/>
      <c r="O680" s="61"/>
      <c r="P680" s="61"/>
      <c r="Q680" s="61"/>
      <c r="R680" s="61"/>
      <c r="S680" s="61"/>
      <c r="T680" s="61"/>
      <c r="U680" s="61"/>
      <c r="V680" s="61"/>
      <c r="W680" s="61"/>
      <c r="X680" s="61"/>
      <c r="Y680" s="61"/>
      <c r="Z680" s="61"/>
    </row>
    <row r="681" spans="1:26" ht="13">
      <c r="A681" s="61"/>
      <c r="B681" s="61"/>
      <c r="C681" s="61"/>
      <c r="D681" s="61"/>
      <c r="E681" s="61"/>
      <c r="F681" s="61"/>
      <c r="G681" s="179"/>
      <c r="H681" s="61"/>
      <c r="I681" s="61"/>
      <c r="J681" s="61"/>
      <c r="K681" s="61"/>
      <c r="L681" s="61"/>
      <c r="M681" s="61"/>
      <c r="N681" s="61"/>
      <c r="O681" s="61"/>
      <c r="P681" s="61"/>
      <c r="Q681" s="61"/>
      <c r="R681" s="61"/>
      <c r="S681" s="61"/>
      <c r="T681" s="61"/>
      <c r="U681" s="61"/>
      <c r="V681" s="61"/>
      <c r="W681" s="61"/>
      <c r="X681" s="61"/>
      <c r="Y681" s="61"/>
      <c r="Z681" s="61"/>
    </row>
    <row r="682" spans="1:26" ht="13">
      <c r="A682" s="61"/>
      <c r="B682" s="61"/>
      <c r="C682" s="61"/>
      <c r="D682" s="61"/>
      <c r="E682" s="61"/>
      <c r="F682" s="61"/>
      <c r="G682" s="179"/>
      <c r="H682" s="61"/>
      <c r="I682" s="61"/>
      <c r="J682" s="61"/>
      <c r="K682" s="61"/>
      <c r="L682" s="61"/>
      <c r="M682" s="61"/>
      <c r="N682" s="61"/>
      <c r="O682" s="61"/>
      <c r="P682" s="61"/>
      <c r="Q682" s="61"/>
      <c r="R682" s="61"/>
      <c r="S682" s="61"/>
      <c r="T682" s="61"/>
      <c r="U682" s="61"/>
      <c r="V682" s="61"/>
      <c r="W682" s="61"/>
      <c r="X682" s="61"/>
      <c r="Y682" s="61"/>
      <c r="Z682" s="61"/>
    </row>
    <row r="683" spans="1:26" ht="13">
      <c r="A683" s="61"/>
      <c r="B683" s="61"/>
      <c r="C683" s="61"/>
      <c r="D683" s="61"/>
      <c r="E683" s="61"/>
      <c r="F683" s="61"/>
      <c r="G683" s="179"/>
      <c r="H683" s="61"/>
      <c r="I683" s="61"/>
      <c r="J683" s="61"/>
      <c r="K683" s="61"/>
      <c r="L683" s="61"/>
      <c r="M683" s="61"/>
      <c r="N683" s="61"/>
      <c r="O683" s="61"/>
      <c r="P683" s="61"/>
      <c r="Q683" s="61"/>
      <c r="R683" s="61"/>
      <c r="S683" s="61"/>
      <c r="T683" s="61"/>
      <c r="U683" s="61"/>
      <c r="V683" s="61"/>
      <c r="W683" s="61"/>
      <c r="X683" s="61"/>
      <c r="Y683" s="61"/>
      <c r="Z683" s="61"/>
    </row>
    <row r="684" spans="1:26" ht="13">
      <c r="A684" s="61"/>
      <c r="B684" s="61"/>
      <c r="C684" s="61"/>
      <c r="D684" s="61"/>
      <c r="E684" s="61"/>
      <c r="F684" s="61"/>
      <c r="G684" s="179"/>
      <c r="H684" s="61"/>
      <c r="I684" s="61"/>
      <c r="J684" s="61"/>
      <c r="K684" s="61"/>
      <c r="L684" s="61"/>
      <c r="M684" s="61"/>
      <c r="N684" s="61"/>
      <c r="O684" s="61"/>
      <c r="P684" s="61"/>
      <c r="Q684" s="61"/>
      <c r="R684" s="61"/>
      <c r="S684" s="61"/>
      <c r="T684" s="61"/>
      <c r="U684" s="61"/>
      <c r="V684" s="61"/>
      <c r="W684" s="61"/>
      <c r="X684" s="61"/>
      <c r="Y684" s="61"/>
      <c r="Z684" s="61"/>
    </row>
    <row r="685" spans="1:26" ht="13">
      <c r="A685" s="61"/>
      <c r="B685" s="61"/>
      <c r="C685" s="61"/>
      <c r="D685" s="61"/>
      <c r="E685" s="61"/>
      <c r="F685" s="61"/>
      <c r="G685" s="179"/>
      <c r="H685" s="61"/>
      <c r="I685" s="61"/>
      <c r="J685" s="61"/>
      <c r="K685" s="61"/>
      <c r="L685" s="61"/>
      <c r="M685" s="61"/>
      <c r="N685" s="61"/>
      <c r="O685" s="61"/>
      <c r="P685" s="61"/>
      <c r="Q685" s="61"/>
      <c r="R685" s="61"/>
      <c r="S685" s="61"/>
      <c r="T685" s="61"/>
      <c r="U685" s="61"/>
      <c r="V685" s="61"/>
      <c r="W685" s="61"/>
      <c r="X685" s="61"/>
      <c r="Y685" s="61"/>
      <c r="Z685" s="61"/>
    </row>
    <row r="686" spans="1:26" ht="13">
      <c r="A686" s="61"/>
      <c r="B686" s="61"/>
      <c r="C686" s="61"/>
      <c r="D686" s="61"/>
      <c r="E686" s="61"/>
      <c r="F686" s="61"/>
      <c r="G686" s="179"/>
      <c r="H686" s="61"/>
      <c r="I686" s="61"/>
      <c r="J686" s="61"/>
      <c r="K686" s="61"/>
      <c r="L686" s="61"/>
      <c r="M686" s="61"/>
      <c r="N686" s="61"/>
      <c r="O686" s="61"/>
      <c r="P686" s="61"/>
      <c r="Q686" s="61"/>
      <c r="R686" s="61"/>
      <c r="S686" s="61"/>
      <c r="T686" s="61"/>
      <c r="U686" s="61"/>
      <c r="V686" s="61"/>
      <c r="W686" s="61"/>
      <c r="X686" s="61"/>
      <c r="Y686" s="61"/>
      <c r="Z686" s="61"/>
    </row>
    <row r="687" spans="1:26" ht="13">
      <c r="A687" s="61"/>
      <c r="B687" s="61"/>
      <c r="C687" s="61"/>
      <c r="D687" s="61"/>
      <c r="E687" s="61"/>
      <c r="F687" s="61"/>
      <c r="G687" s="179"/>
      <c r="H687" s="61"/>
      <c r="I687" s="61"/>
      <c r="J687" s="61"/>
      <c r="K687" s="61"/>
      <c r="L687" s="61"/>
      <c r="M687" s="61"/>
      <c r="N687" s="61"/>
      <c r="O687" s="61"/>
      <c r="P687" s="61"/>
      <c r="Q687" s="61"/>
      <c r="R687" s="61"/>
      <c r="S687" s="61"/>
      <c r="T687" s="61"/>
      <c r="U687" s="61"/>
      <c r="V687" s="61"/>
      <c r="W687" s="61"/>
      <c r="X687" s="61"/>
      <c r="Y687" s="61"/>
      <c r="Z687" s="61"/>
    </row>
    <row r="688" spans="1:26" ht="13">
      <c r="A688" s="61"/>
      <c r="B688" s="61"/>
      <c r="C688" s="61"/>
      <c r="D688" s="61"/>
      <c r="E688" s="61"/>
      <c r="F688" s="61"/>
      <c r="G688" s="179"/>
      <c r="H688" s="61"/>
      <c r="I688" s="61"/>
      <c r="J688" s="61"/>
      <c r="K688" s="61"/>
      <c r="L688" s="61"/>
      <c r="M688" s="61"/>
      <c r="N688" s="61"/>
      <c r="O688" s="61"/>
      <c r="P688" s="61"/>
      <c r="Q688" s="61"/>
      <c r="R688" s="61"/>
      <c r="S688" s="61"/>
      <c r="T688" s="61"/>
      <c r="U688" s="61"/>
      <c r="V688" s="61"/>
      <c r="W688" s="61"/>
      <c r="X688" s="61"/>
      <c r="Y688" s="61"/>
      <c r="Z688" s="61"/>
    </row>
    <row r="689" spans="1:26" ht="13">
      <c r="A689" s="61"/>
      <c r="B689" s="61"/>
      <c r="C689" s="61"/>
      <c r="D689" s="61"/>
      <c r="E689" s="61"/>
      <c r="F689" s="61"/>
      <c r="G689" s="179"/>
      <c r="H689" s="61"/>
      <c r="I689" s="61"/>
      <c r="J689" s="61"/>
      <c r="K689" s="61"/>
      <c r="L689" s="61"/>
      <c r="M689" s="61"/>
      <c r="N689" s="61"/>
      <c r="O689" s="61"/>
      <c r="P689" s="61"/>
      <c r="Q689" s="61"/>
      <c r="R689" s="61"/>
      <c r="S689" s="61"/>
      <c r="T689" s="61"/>
      <c r="U689" s="61"/>
      <c r="V689" s="61"/>
      <c r="W689" s="61"/>
      <c r="X689" s="61"/>
      <c r="Y689" s="61"/>
      <c r="Z689" s="61"/>
    </row>
    <row r="690" spans="1:26" ht="13">
      <c r="A690" s="61"/>
      <c r="B690" s="61"/>
      <c r="C690" s="61"/>
      <c r="D690" s="61"/>
      <c r="E690" s="61"/>
      <c r="F690" s="61"/>
      <c r="G690" s="179"/>
      <c r="H690" s="61"/>
      <c r="I690" s="61"/>
      <c r="J690" s="61"/>
      <c r="K690" s="61"/>
      <c r="L690" s="61"/>
      <c r="M690" s="61"/>
      <c r="N690" s="61"/>
      <c r="O690" s="61"/>
      <c r="P690" s="61"/>
      <c r="Q690" s="61"/>
      <c r="R690" s="61"/>
      <c r="S690" s="61"/>
      <c r="T690" s="61"/>
      <c r="U690" s="61"/>
      <c r="V690" s="61"/>
      <c r="W690" s="61"/>
      <c r="X690" s="61"/>
      <c r="Y690" s="61"/>
      <c r="Z690" s="61"/>
    </row>
    <row r="691" spans="1:26" ht="13">
      <c r="A691" s="61"/>
      <c r="B691" s="61"/>
      <c r="C691" s="61"/>
      <c r="D691" s="61"/>
      <c r="E691" s="61"/>
      <c r="F691" s="61"/>
      <c r="G691" s="179"/>
      <c r="H691" s="61"/>
      <c r="I691" s="61"/>
      <c r="J691" s="61"/>
      <c r="K691" s="61"/>
      <c r="L691" s="61"/>
      <c r="M691" s="61"/>
      <c r="N691" s="61"/>
      <c r="O691" s="61"/>
      <c r="P691" s="61"/>
      <c r="Q691" s="61"/>
      <c r="R691" s="61"/>
      <c r="S691" s="61"/>
      <c r="T691" s="61"/>
      <c r="U691" s="61"/>
      <c r="V691" s="61"/>
      <c r="W691" s="61"/>
      <c r="X691" s="61"/>
      <c r="Y691" s="61"/>
      <c r="Z691" s="61"/>
    </row>
    <row r="692" spans="1:26" ht="13">
      <c r="A692" s="61"/>
      <c r="B692" s="61"/>
      <c r="C692" s="61"/>
      <c r="D692" s="61"/>
      <c r="E692" s="61"/>
      <c r="F692" s="61"/>
      <c r="G692" s="179"/>
      <c r="H692" s="61"/>
      <c r="I692" s="61"/>
      <c r="J692" s="61"/>
      <c r="K692" s="61"/>
      <c r="L692" s="61"/>
      <c r="M692" s="61"/>
      <c r="N692" s="61"/>
      <c r="O692" s="61"/>
      <c r="P692" s="61"/>
      <c r="Q692" s="61"/>
      <c r="R692" s="61"/>
      <c r="S692" s="61"/>
      <c r="T692" s="61"/>
      <c r="U692" s="61"/>
      <c r="V692" s="61"/>
      <c r="W692" s="61"/>
      <c r="X692" s="61"/>
      <c r="Y692" s="61"/>
      <c r="Z692" s="61"/>
    </row>
    <row r="693" spans="1:26" ht="13">
      <c r="A693" s="61"/>
      <c r="B693" s="61"/>
      <c r="C693" s="61"/>
      <c r="D693" s="61"/>
      <c r="E693" s="61"/>
      <c r="F693" s="61"/>
      <c r="G693" s="179"/>
      <c r="H693" s="61"/>
      <c r="I693" s="61"/>
      <c r="J693" s="61"/>
      <c r="K693" s="61"/>
      <c r="L693" s="61"/>
      <c r="M693" s="61"/>
      <c r="N693" s="61"/>
      <c r="O693" s="61"/>
      <c r="P693" s="61"/>
      <c r="Q693" s="61"/>
      <c r="R693" s="61"/>
      <c r="S693" s="61"/>
      <c r="T693" s="61"/>
      <c r="U693" s="61"/>
      <c r="V693" s="61"/>
      <c r="W693" s="61"/>
      <c r="X693" s="61"/>
      <c r="Y693" s="61"/>
      <c r="Z693" s="61"/>
    </row>
    <row r="694" spans="1:26" ht="13">
      <c r="A694" s="61"/>
      <c r="B694" s="61"/>
      <c r="C694" s="61"/>
      <c r="D694" s="61"/>
      <c r="E694" s="61"/>
      <c r="F694" s="61"/>
      <c r="G694" s="179"/>
      <c r="H694" s="61"/>
      <c r="I694" s="61"/>
      <c r="J694" s="61"/>
      <c r="K694" s="61"/>
      <c r="L694" s="61"/>
      <c r="M694" s="61"/>
      <c r="N694" s="61"/>
      <c r="O694" s="61"/>
      <c r="P694" s="61"/>
      <c r="Q694" s="61"/>
      <c r="R694" s="61"/>
      <c r="S694" s="61"/>
      <c r="T694" s="61"/>
      <c r="U694" s="61"/>
      <c r="V694" s="61"/>
      <c r="W694" s="61"/>
      <c r="X694" s="61"/>
      <c r="Y694" s="61"/>
      <c r="Z694" s="61"/>
    </row>
    <row r="695" spans="1:26" ht="13">
      <c r="A695" s="61"/>
      <c r="B695" s="61"/>
      <c r="C695" s="61"/>
      <c r="D695" s="61"/>
      <c r="E695" s="61"/>
      <c r="F695" s="61"/>
      <c r="G695" s="179"/>
      <c r="H695" s="61"/>
      <c r="I695" s="61"/>
      <c r="J695" s="61"/>
      <c r="K695" s="61"/>
      <c r="L695" s="61"/>
      <c r="M695" s="61"/>
      <c r="N695" s="61"/>
      <c r="O695" s="61"/>
      <c r="P695" s="61"/>
      <c r="Q695" s="61"/>
      <c r="R695" s="61"/>
      <c r="S695" s="61"/>
      <c r="T695" s="61"/>
      <c r="U695" s="61"/>
      <c r="V695" s="61"/>
      <c r="W695" s="61"/>
      <c r="X695" s="61"/>
      <c r="Y695" s="61"/>
      <c r="Z695" s="61"/>
    </row>
    <row r="696" spans="1:26" ht="13">
      <c r="A696" s="61"/>
      <c r="B696" s="61"/>
      <c r="C696" s="61"/>
      <c r="D696" s="61"/>
      <c r="E696" s="61"/>
      <c r="F696" s="61"/>
      <c r="G696" s="179"/>
      <c r="H696" s="61"/>
      <c r="I696" s="61"/>
      <c r="J696" s="61"/>
      <c r="K696" s="61"/>
      <c r="L696" s="61"/>
      <c r="M696" s="61"/>
      <c r="N696" s="61"/>
      <c r="O696" s="61"/>
      <c r="P696" s="61"/>
      <c r="Q696" s="61"/>
      <c r="R696" s="61"/>
      <c r="S696" s="61"/>
      <c r="T696" s="61"/>
      <c r="U696" s="61"/>
      <c r="V696" s="61"/>
      <c r="W696" s="61"/>
      <c r="X696" s="61"/>
      <c r="Y696" s="61"/>
      <c r="Z696" s="61"/>
    </row>
    <row r="697" spans="1:26" ht="13">
      <c r="A697" s="61"/>
      <c r="B697" s="61"/>
      <c r="C697" s="61"/>
      <c r="D697" s="61"/>
      <c r="E697" s="61"/>
      <c r="F697" s="61"/>
      <c r="G697" s="179"/>
      <c r="H697" s="61"/>
      <c r="I697" s="61"/>
      <c r="J697" s="61"/>
      <c r="K697" s="61"/>
      <c r="L697" s="61"/>
      <c r="M697" s="61"/>
      <c r="N697" s="61"/>
      <c r="O697" s="61"/>
      <c r="P697" s="61"/>
      <c r="Q697" s="61"/>
      <c r="R697" s="61"/>
      <c r="S697" s="61"/>
      <c r="T697" s="61"/>
      <c r="U697" s="61"/>
      <c r="V697" s="61"/>
      <c r="W697" s="61"/>
      <c r="X697" s="61"/>
      <c r="Y697" s="61"/>
      <c r="Z697" s="61"/>
    </row>
    <row r="698" spans="1:26" ht="13">
      <c r="A698" s="61"/>
      <c r="B698" s="61"/>
      <c r="C698" s="61"/>
      <c r="D698" s="61"/>
      <c r="E698" s="61"/>
      <c r="F698" s="61"/>
      <c r="G698" s="179"/>
      <c r="H698" s="61"/>
      <c r="I698" s="61"/>
      <c r="J698" s="61"/>
      <c r="K698" s="61"/>
      <c r="L698" s="61"/>
      <c r="M698" s="61"/>
      <c r="N698" s="61"/>
      <c r="O698" s="61"/>
      <c r="P698" s="61"/>
      <c r="Q698" s="61"/>
      <c r="R698" s="61"/>
      <c r="S698" s="61"/>
      <c r="T698" s="61"/>
      <c r="U698" s="61"/>
      <c r="V698" s="61"/>
      <c r="W698" s="61"/>
      <c r="X698" s="61"/>
      <c r="Y698" s="61"/>
      <c r="Z698" s="61"/>
    </row>
    <row r="699" spans="1:26" ht="13">
      <c r="A699" s="61"/>
      <c r="B699" s="61"/>
      <c r="C699" s="61"/>
      <c r="D699" s="61"/>
      <c r="E699" s="61"/>
      <c r="F699" s="61"/>
      <c r="G699" s="179"/>
      <c r="H699" s="61"/>
      <c r="I699" s="61"/>
      <c r="J699" s="61"/>
      <c r="K699" s="61"/>
      <c r="L699" s="61"/>
      <c r="M699" s="61"/>
      <c r="N699" s="61"/>
      <c r="O699" s="61"/>
      <c r="P699" s="61"/>
      <c r="Q699" s="61"/>
      <c r="R699" s="61"/>
      <c r="S699" s="61"/>
      <c r="T699" s="61"/>
      <c r="U699" s="61"/>
      <c r="V699" s="61"/>
      <c r="W699" s="61"/>
      <c r="X699" s="61"/>
      <c r="Y699" s="61"/>
      <c r="Z699" s="61"/>
    </row>
    <row r="700" spans="1:26" ht="13">
      <c r="A700" s="61"/>
      <c r="B700" s="61"/>
      <c r="C700" s="61"/>
      <c r="D700" s="61"/>
      <c r="E700" s="61"/>
      <c r="F700" s="61"/>
      <c r="G700" s="179"/>
      <c r="H700" s="61"/>
      <c r="I700" s="61"/>
      <c r="J700" s="61"/>
      <c r="K700" s="61"/>
      <c r="L700" s="61"/>
      <c r="M700" s="61"/>
      <c r="N700" s="61"/>
      <c r="O700" s="61"/>
      <c r="P700" s="61"/>
      <c r="Q700" s="61"/>
      <c r="R700" s="61"/>
      <c r="S700" s="61"/>
      <c r="T700" s="61"/>
      <c r="U700" s="61"/>
      <c r="V700" s="61"/>
      <c r="W700" s="61"/>
      <c r="X700" s="61"/>
      <c r="Y700" s="61"/>
      <c r="Z700" s="61"/>
    </row>
    <row r="701" spans="1:26" ht="13">
      <c r="A701" s="61"/>
      <c r="B701" s="61"/>
      <c r="C701" s="61"/>
      <c r="D701" s="61"/>
      <c r="E701" s="61"/>
      <c r="F701" s="61"/>
      <c r="G701" s="179"/>
      <c r="H701" s="61"/>
      <c r="I701" s="61"/>
      <c r="J701" s="61"/>
      <c r="K701" s="61"/>
      <c r="L701" s="61"/>
      <c r="M701" s="61"/>
      <c r="N701" s="61"/>
      <c r="O701" s="61"/>
      <c r="P701" s="61"/>
      <c r="Q701" s="61"/>
      <c r="R701" s="61"/>
      <c r="S701" s="61"/>
      <c r="T701" s="61"/>
      <c r="U701" s="61"/>
      <c r="V701" s="61"/>
      <c r="W701" s="61"/>
      <c r="X701" s="61"/>
      <c r="Y701" s="61"/>
      <c r="Z701" s="61"/>
    </row>
    <row r="702" spans="1:26" ht="13">
      <c r="A702" s="61"/>
      <c r="B702" s="61"/>
      <c r="C702" s="61"/>
      <c r="D702" s="61"/>
      <c r="E702" s="61"/>
      <c r="F702" s="61"/>
      <c r="G702" s="179"/>
      <c r="H702" s="61"/>
      <c r="I702" s="61"/>
      <c r="J702" s="61"/>
      <c r="K702" s="61"/>
      <c r="L702" s="61"/>
      <c r="M702" s="61"/>
      <c r="N702" s="61"/>
      <c r="O702" s="61"/>
      <c r="P702" s="61"/>
      <c r="Q702" s="61"/>
      <c r="R702" s="61"/>
      <c r="S702" s="61"/>
      <c r="T702" s="61"/>
      <c r="U702" s="61"/>
      <c r="V702" s="61"/>
      <c r="W702" s="61"/>
      <c r="X702" s="61"/>
      <c r="Y702" s="61"/>
      <c r="Z702" s="61"/>
    </row>
    <row r="703" spans="1:26" ht="13">
      <c r="A703" s="61"/>
      <c r="B703" s="61"/>
      <c r="C703" s="61"/>
      <c r="D703" s="61"/>
      <c r="E703" s="61"/>
      <c r="F703" s="61"/>
      <c r="G703" s="179"/>
      <c r="H703" s="61"/>
      <c r="I703" s="61"/>
      <c r="J703" s="61"/>
      <c r="K703" s="61"/>
      <c r="L703" s="61"/>
      <c r="M703" s="61"/>
      <c r="N703" s="61"/>
      <c r="O703" s="61"/>
      <c r="P703" s="61"/>
      <c r="Q703" s="61"/>
      <c r="R703" s="61"/>
      <c r="S703" s="61"/>
      <c r="T703" s="61"/>
      <c r="U703" s="61"/>
      <c r="V703" s="61"/>
      <c r="W703" s="61"/>
      <c r="X703" s="61"/>
      <c r="Y703" s="61"/>
      <c r="Z703" s="61"/>
    </row>
    <row r="704" spans="1:26" ht="13">
      <c r="A704" s="61"/>
      <c r="B704" s="61"/>
      <c r="C704" s="61"/>
      <c r="D704" s="61"/>
      <c r="E704" s="61"/>
      <c r="F704" s="61"/>
      <c r="G704" s="179"/>
      <c r="H704" s="61"/>
      <c r="I704" s="61"/>
      <c r="J704" s="61"/>
      <c r="K704" s="61"/>
      <c r="L704" s="61"/>
      <c r="M704" s="61"/>
      <c r="N704" s="61"/>
      <c r="O704" s="61"/>
      <c r="P704" s="61"/>
      <c r="Q704" s="61"/>
      <c r="R704" s="61"/>
      <c r="S704" s="61"/>
      <c r="T704" s="61"/>
      <c r="U704" s="61"/>
      <c r="V704" s="61"/>
      <c r="W704" s="61"/>
      <c r="X704" s="61"/>
      <c r="Y704" s="61"/>
      <c r="Z704" s="61"/>
    </row>
    <row r="705" spans="1:26" ht="13">
      <c r="A705" s="61"/>
      <c r="B705" s="61"/>
      <c r="C705" s="61"/>
      <c r="D705" s="61"/>
      <c r="E705" s="61"/>
      <c r="F705" s="61"/>
      <c r="G705" s="179"/>
      <c r="H705" s="61"/>
      <c r="I705" s="61"/>
      <c r="J705" s="61"/>
      <c r="K705" s="61"/>
      <c r="L705" s="61"/>
      <c r="M705" s="61"/>
      <c r="N705" s="61"/>
      <c r="O705" s="61"/>
      <c r="P705" s="61"/>
      <c r="Q705" s="61"/>
      <c r="R705" s="61"/>
      <c r="S705" s="61"/>
      <c r="T705" s="61"/>
      <c r="U705" s="61"/>
      <c r="V705" s="61"/>
      <c r="W705" s="61"/>
      <c r="X705" s="61"/>
      <c r="Y705" s="61"/>
      <c r="Z705" s="61"/>
    </row>
    <row r="706" spans="1:26" ht="13">
      <c r="A706" s="61"/>
      <c r="B706" s="61"/>
      <c r="C706" s="61"/>
      <c r="D706" s="61"/>
      <c r="E706" s="61"/>
      <c r="F706" s="61"/>
      <c r="G706" s="179"/>
      <c r="H706" s="61"/>
      <c r="I706" s="61"/>
      <c r="J706" s="61"/>
      <c r="K706" s="61"/>
      <c r="L706" s="61"/>
      <c r="M706" s="61"/>
      <c r="N706" s="61"/>
      <c r="O706" s="61"/>
      <c r="P706" s="61"/>
      <c r="Q706" s="61"/>
      <c r="R706" s="61"/>
      <c r="S706" s="61"/>
      <c r="T706" s="61"/>
      <c r="U706" s="61"/>
      <c r="V706" s="61"/>
      <c r="W706" s="61"/>
      <c r="X706" s="61"/>
      <c r="Y706" s="61"/>
      <c r="Z706" s="61"/>
    </row>
    <row r="707" spans="1:26" ht="13">
      <c r="A707" s="61"/>
      <c r="B707" s="61"/>
      <c r="C707" s="61"/>
      <c r="D707" s="61"/>
      <c r="E707" s="61"/>
      <c r="F707" s="61"/>
      <c r="G707" s="179"/>
      <c r="H707" s="61"/>
      <c r="I707" s="61"/>
      <c r="J707" s="61"/>
      <c r="K707" s="61"/>
      <c r="L707" s="61"/>
      <c r="M707" s="61"/>
      <c r="N707" s="61"/>
      <c r="O707" s="61"/>
      <c r="P707" s="61"/>
      <c r="Q707" s="61"/>
      <c r="R707" s="61"/>
      <c r="S707" s="61"/>
      <c r="T707" s="61"/>
      <c r="U707" s="61"/>
      <c r="V707" s="61"/>
      <c r="W707" s="61"/>
      <c r="X707" s="61"/>
      <c r="Y707" s="61"/>
      <c r="Z707" s="61"/>
    </row>
    <row r="708" spans="1:26" ht="13">
      <c r="A708" s="61"/>
      <c r="B708" s="61"/>
      <c r="C708" s="61"/>
      <c r="D708" s="61"/>
      <c r="E708" s="61"/>
      <c r="F708" s="61"/>
      <c r="G708" s="179"/>
      <c r="H708" s="61"/>
      <c r="I708" s="61"/>
      <c r="J708" s="61"/>
      <c r="K708" s="61"/>
      <c r="L708" s="61"/>
      <c r="M708" s="61"/>
      <c r="N708" s="61"/>
      <c r="O708" s="61"/>
      <c r="P708" s="61"/>
      <c r="Q708" s="61"/>
      <c r="R708" s="61"/>
      <c r="S708" s="61"/>
      <c r="T708" s="61"/>
      <c r="U708" s="61"/>
      <c r="V708" s="61"/>
      <c r="W708" s="61"/>
      <c r="X708" s="61"/>
      <c r="Y708" s="61"/>
      <c r="Z708" s="61"/>
    </row>
    <row r="709" spans="1:26" ht="13">
      <c r="A709" s="61"/>
      <c r="B709" s="61"/>
      <c r="C709" s="61"/>
      <c r="D709" s="61"/>
      <c r="E709" s="61"/>
      <c r="F709" s="61"/>
      <c r="G709" s="179"/>
      <c r="H709" s="61"/>
      <c r="I709" s="61"/>
      <c r="J709" s="61"/>
      <c r="K709" s="61"/>
      <c r="L709" s="61"/>
      <c r="M709" s="61"/>
      <c r="N709" s="61"/>
      <c r="O709" s="61"/>
      <c r="P709" s="61"/>
      <c r="Q709" s="61"/>
      <c r="R709" s="61"/>
      <c r="S709" s="61"/>
      <c r="T709" s="61"/>
      <c r="U709" s="61"/>
      <c r="V709" s="61"/>
      <c r="W709" s="61"/>
      <c r="X709" s="61"/>
      <c r="Y709" s="61"/>
      <c r="Z709" s="61"/>
    </row>
    <row r="710" spans="1:26" ht="13">
      <c r="A710" s="61"/>
      <c r="B710" s="61"/>
      <c r="C710" s="61"/>
      <c r="D710" s="61"/>
      <c r="E710" s="61"/>
      <c r="F710" s="61"/>
      <c r="G710" s="179"/>
      <c r="H710" s="61"/>
      <c r="I710" s="61"/>
      <c r="J710" s="61"/>
      <c r="K710" s="61"/>
      <c r="L710" s="61"/>
      <c r="M710" s="61"/>
      <c r="N710" s="61"/>
      <c r="O710" s="61"/>
      <c r="P710" s="61"/>
      <c r="Q710" s="61"/>
      <c r="R710" s="61"/>
      <c r="S710" s="61"/>
      <c r="T710" s="61"/>
      <c r="U710" s="61"/>
      <c r="V710" s="61"/>
      <c r="W710" s="61"/>
      <c r="X710" s="61"/>
      <c r="Y710" s="61"/>
      <c r="Z710" s="61"/>
    </row>
    <row r="711" spans="1:26" ht="13">
      <c r="A711" s="61"/>
      <c r="B711" s="61"/>
      <c r="C711" s="61"/>
      <c r="D711" s="61"/>
      <c r="E711" s="61"/>
      <c r="F711" s="61"/>
      <c r="G711" s="179"/>
      <c r="H711" s="61"/>
      <c r="I711" s="61"/>
      <c r="J711" s="61"/>
      <c r="K711" s="61"/>
      <c r="L711" s="61"/>
      <c r="M711" s="61"/>
      <c r="N711" s="61"/>
      <c r="O711" s="61"/>
      <c r="P711" s="61"/>
      <c r="Q711" s="61"/>
      <c r="R711" s="61"/>
      <c r="S711" s="61"/>
      <c r="T711" s="61"/>
      <c r="U711" s="61"/>
      <c r="V711" s="61"/>
      <c r="W711" s="61"/>
      <c r="X711" s="61"/>
      <c r="Y711" s="61"/>
      <c r="Z711" s="61"/>
    </row>
    <row r="712" spans="1:26" ht="13">
      <c r="A712" s="61"/>
      <c r="B712" s="61"/>
      <c r="C712" s="61"/>
      <c r="D712" s="61"/>
      <c r="E712" s="61"/>
      <c r="F712" s="61"/>
      <c r="G712" s="179"/>
      <c r="H712" s="61"/>
      <c r="I712" s="61"/>
      <c r="J712" s="61"/>
      <c r="K712" s="61"/>
      <c r="L712" s="61"/>
      <c r="M712" s="61"/>
      <c r="N712" s="61"/>
      <c r="O712" s="61"/>
      <c r="P712" s="61"/>
      <c r="Q712" s="61"/>
      <c r="R712" s="61"/>
      <c r="S712" s="61"/>
      <c r="T712" s="61"/>
      <c r="U712" s="61"/>
      <c r="V712" s="61"/>
      <c r="W712" s="61"/>
      <c r="X712" s="61"/>
      <c r="Y712" s="61"/>
      <c r="Z712" s="61"/>
    </row>
    <row r="713" spans="1:26" ht="13">
      <c r="A713" s="61"/>
      <c r="B713" s="61"/>
      <c r="C713" s="61"/>
      <c r="D713" s="61"/>
      <c r="E713" s="61"/>
      <c r="F713" s="61"/>
      <c r="G713" s="179"/>
      <c r="H713" s="61"/>
      <c r="I713" s="61"/>
      <c r="J713" s="61"/>
      <c r="K713" s="61"/>
      <c r="L713" s="61"/>
      <c r="M713" s="61"/>
      <c r="N713" s="61"/>
      <c r="O713" s="61"/>
      <c r="P713" s="61"/>
      <c r="Q713" s="61"/>
      <c r="R713" s="61"/>
      <c r="S713" s="61"/>
      <c r="T713" s="61"/>
      <c r="U713" s="61"/>
      <c r="V713" s="61"/>
      <c r="W713" s="61"/>
      <c r="X713" s="61"/>
      <c r="Y713" s="61"/>
      <c r="Z713" s="61"/>
    </row>
    <row r="714" spans="1:26" ht="13">
      <c r="A714" s="61"/>
      <c r="B714" s="61"/>
      <c r="C714" s="61"/>
      <c r="D714" s="61"/>
      <c r="E714" s="61"/>
      <c r="F714" s="61"/>
      <c r="G714" s="179"/>
      <c r="H714" s="61"/>
      <c r="I714" s="61"/>
      <c r="J714" s="61"/>
      <c r="K714" s="61"/>
      <c r="L714" s="61"/>
      <c r="M714" s="61"/>
      <c r="N714" s="61"/>
      <c r="O714" s="61"/>
      <c r="P714" s="61"/>
      <c r="Q714" s="61"/>
      <c r="R714" s="61"/>
      <c r="S714" s="61"/>
      <c r="T714" s="61"/>
      <c r="U714" s="61"/>
      <c r="V714" s="61"/>
      <c r="W714" s="61"/>
      <c r="X714" s="61"/>
      <c r="Y714" s="61"/>
      <c r="Z714" s="61"/>
    </row>
    <row r="715" spans="1:26" ht="13">
      <c r="A715" s="61"/>
      <c r="B715" s="61"/>
      <c r="C715" s="61"/>
      <c r="D715" s="61"/>
      <c r="E715" s="61"/>
      <c r="F715" s="61"/>
      <c r="G715" s="179"/>
      <c r="H715" s="61"/>
      <c r="I715" s="61"/>
      <c r="J715" s="61"/>
      <c r="K715" s="61"/>
      <c r="L715" s="61"/>
      <c r="M715" s="61"/>
      <c r="N715" s="61"/>
      <c r="O715" s="61"/>
      <c r="P715" s="61"/>
      <c r="Q715" s="61"/>
      <c r="R715" s="61"/>
      <c r="S715" s="61"/>
      <c r="T715" s="61"/>
      <c r="U715" s="61"/>
      <c r="V715" s="61"/>
      <c r="W715" s="61"/>
      <c r="X715" s="61"/>
      <c r="Y715" s="61"/>
      <c r="Z715" s="61"/>
    </row>
    <row r="716" spans="1:26" ht="13">
      <c r="A716" s="61"/>
      <c r="B716" s="61"/>
      <c r="C716" s="61"/>
      <c r="D716" s="61"/>
      <c r="E716" s="61"/>
      <c r="F716" s="61"/>
      <c r="G716" s="179"/>
      <c r="H716" s="61"/>
      <c r="I716" s="61"/>
      <c r="J716" s="61"/>
      <c r="K716" s="61"/>
      <c r="L716" s="61"/>
      <c r="M716" s="61"/>
      <c r="N716" s="61"/>
      <c r="O716" s="61"/>
      <c r="P716" s="61"/>
      <c r="Q716" s="61"/>
      <c r="R716" s="61"/>
      <c r="S716" s="61"/>
      <c r="T716" s="61"/>
      <c r="U716" s="61"/>
      <c r="V716" s="61"/>
      <c r="W716" s="61"/>
      <c r="X716" s="61"/>
      <c r="Y716" s="61"/>
      <c r="Z716" s="61"/>
    </row>
    <row r="717" spans="1:26" ht="13">
      <c r="A717" s="61"/>
      <c r="B717" s="61"/>
      <c r="C717" s="61"/>
      <c r="D717" s="61"/>
      <c r="E717" s="61"/>
      <c r="F717" s="61"/>
      <c r="G717" s="179"/>
      <c r="H717" s="61"/>
      <c r="I717" s="61"/>
      <c r="J717" s="61"/>
      <c r="K717" s="61"/>
      <c r="L717" s="61"/>
      <c r="M717" s="61"/>
      <c r="N717" s="61"/>
      <c r="O717" s="61"/>
      <c r="P717" s="61"/>
      <c r="Q717" s="61"/>
      <c r="R717" s="61"/>
      <c r="S717" s="61"/>
      <c r="T717" s="61"/>
      <c r="U717" s="61"/>
      <c r="V717" s="61"/>
      <c r="W717" s="61"/>
      <c r="X717" s="61"/>
      <c r="Y717" s="61"/>
      <c r="Z717" s="61"/>
    </row>
    <row r="718" spans="1:26" ht="13">
      <c r="A718" s="61"/>
      <c r="B718" s="61"/>
      <c r="C718" s="61"/>
      <c r="D718" s="61"/>
      <c r="E718" s="61"/>
      <c r="F718" s="61"/>
      <c r="G718" s="179"/>
      <c r="H718" s="61"/>
      <c r="I718" s="61"/>
      <c r="J718" s="61"/>
      <c r="K718" s="61"/>
      <c r="L718" s="61"/>
      <c r="M718" s="61"/>
      <c r="N718" s="61"/>
      <c r="O718" s="61"/>
      <c r="P718" s="61"/>
      <c r="Q718" s="61"/>
      <c r="R718" s="61"/>
      <c r="S718" s="61"/>
      <c r="T718" s="61"/>
      <c r="U718" s="61"/>
      <c r="V718" s="61"/>
      <c r="W718" s="61"/>
      <c r="X718" s="61"/>
      <c r="Y718" s="61"/>
      <c r="Z718" s="61"/>
    </row>
    <row r="719" spans="1:26" ht="13">
      <c r="A719" s="61"/>
      <c r="B719" s="61"/>
      <c r="C719" s="61"/>
      <c r="D719" s="61"/>
      <c r="E719" s="61"/>
      <c r="F719" s="61"/>
      <c r="G719" s="179"/>
      <c r="H719" s="61"/>
      <c r="I719" s="61"/>
      <c r="J719" s="61"/>
      <c r="K719" s="61"/>
      <c r="L719" s="61"/>
      <c r="M719" s="61"/>
      <c r="N719" s="61"/>
      <c r="O719" s="61"/>
      <c r="P719" s="61"/>
      <c r="Q719" s="61"/>
      <c r="R719" s="61"/>
      <c r="S719" s="61"/>
      <c r="T719" s="61"/>
      <c r="U719" s="61"/>
      <c r="V719" s="61"/>
      <c r="W719" s="61"/>
      <c r="X719" s="61"/>
      <c r="Y719" s="61"/>
      <c r="Z719" s="61"/>
    </row>
    <row r="720" spans="1:26" ht="13">
      <c r="A720" s="61"/>
      <c r="B720" s="61"/>
      <c r="C720" s="61"/>
      <c r="D720" s="61"/>
      <c r="E720" s="61"/>
      <c r="F720" s="61"/>
      <c r="G720" s="179"/>
      <c r="H720" s="61"/>
      <c r="I720" s="61"/>
      <c r="J720" s="61"/>
      <c r="K720" s="61"/>
      <c r="L720" s="61"/>
      <c r="M720" s="61"/>
      <c r="N720" s="61"/>
      <c r="O720" s="61"/>
      <c r="P720" s="61"/>
      <c r="Q720" s="61"/>
      <c r="R720" s="61"/>
      <c r="S720" s="61"/>
      <c r="T720" s="61"/>
      <c r="U720" s="61"/>
      <c r="V720" s="61"/>
      <c r="W720" s="61"/>
      <c r="X720" s="61"/>
      <c r="Y720" s="61"/>
      <c r="Z720" s="61"/>
    </row>
    <row r="721" spans="1:26" ht="13">
      <c r="A721" s="61"/>
      <c r="B721" s="61"/>
      <c r="C721" s="61"/>
      <c r="D721" s="61"/>
      <c r="E721" s="61"/>
      <c r="F721" s="61"/>
      <c r="G721" s="179"/>
      <c r="H721" s="61"/>
      <c r="I721" s="61"/>
      <c r="J721" s="61"/>
      <c r="K721" s="61"/>
      <c r="L721" s="61"/>
      <c r="M721" s="61"/>
      <c r="N721" s="61"/>
      <c r="O721" s="61"/>
      <c r="P721" s="61"/>
      <c r="Q721" s="61"/>
      <c r="R721" s="61"/>
      <c r="S721" s="61"/>
      <c r="T721" s="61"/>
      <c r="U721" s="61"/>
      <c r="V721" s="61"/>
      <c r="W721" s="61"/>
      <c r="X721" s="61"/>
      <c r="Y721" s="61"/>
      <c r="Z721" s="61"/>
    </row>
    <row r="722" spans="1:26" ht="13">
      <c r="A722" s="61"/>
      <c r="B722" s="61"/>
      <c r="C722" s="61"/>
      <c r="D722" s="61"/>
      <c r="E722" s="61"/>
      <c r="F722" s="61"/>
      <c r="G722" s="179"/>
      <c r="H722" s="61"/>
      <c r="I722" s="61"/>
      <c r="J722" s="61"/>
      <c r="K722" s="61"/>
      <c r="L722" s="61"/>
      <c r="M722" s="61"/>
      <c r="N722" s="61"/>
      <c r="O722" s="61"/>
      <c r="P722" s="61"/>
      <c r="Q722" s="61"/>
      <c r="R722" s="61"/>
      <c r="S722" s="61"/>
      <c r="T722" s="61"/>
      <c r="U722" s="61"/>
      <c r="V722" s="61"/>
      <c r="W722" s="61"/>
      <c r="X722" s="61"/>
      <c r="Y722" s="61"/>
      <c r="Z722" s="61"/>
    </row>
    <row r="723" spans="1:26" ht="13">
      <c r="A723" s="61"/>
      <c r="B723" s="61"/>
      <c r="C723" s="61"/>
      <c r="D723" s="61"/>
      <c r="E723" s="61"/>
      <c r="F723" s="61"/>
      <c r="G723" s="179"/>
      <c r="H723" s="61"/>
      <c r="I723" s="61"/>
      <c r="J723" s="61"/>
      <c r="K723" s="61"/>
      <c r="L723" s="61"/>
      <c r="M723" s="61"/>
      <c r="N723" s="61"/>
      <c r="O723" s="61"/>
      <c r="P723" s="61"/>
      <c r="Q723" s="61"/>
      <c r="R723" s="61"/>
      <c r="S723" s="61"/>
      <c r="T723" s="61"/>
      <c r="U723" s="61"/>
      <c r="V723" s="61"/>
      <c r="W723" s="61"/>
      <c r="X723" s="61"/>
      <c r="Y723" s="61"/>
      <c r="Z723" s="61"/>
    </row>
    <row r="724" spans="1:26" ht="13">
      <c r="A724" s="61"/>
      <c r="B724" s="61"/>
      <c r="C724" s="61"/>
      <c r="D724" s="61"/>
      <c r="E724" s="61"/>
      <c r="F724" s="61"/>
      <c r="G724" s="179"/>
      <c r="H724" s="61"/>
      <c r="I724" s="61"/>
      <c r="J724" s="61"/>
      <c r="K724" s="61"/>
      <c r="L724" s="61"/>
      <c r="M724" s="61"/>
      <c r="N724" s="61"/>
      <c r="O724" s="61"/>
      <c r="P724" s="61"/>
      <c r="Q724" s="61"/>
      <c r="R724" s="61"/>
      <c r="S724" s="61"/>
      <c r="T724" s="61"/>
      <c r="U724" s="61"/>
      <c r="V724" s="61"/>
      <c r="W724" s="61"/>
      <c r="X724" s="61"/>
      <c r="Y724" s="61"/>
      <c r="Z724" s="61"/>
    </row>
    <row r="725" spans="1:26" ht="13">
      <c r="A725" s="61"/>
      <c r="B725" s="61"/>
      <c r="C725" s="61"/>
      <c r="D725" s="61"/>
      <c r="E725" s="61"/>
      <c r="F725" s="61"/>
      <c r="G725" s="179"/>
      <c r="H725" s="61"/>
      <c r="I725" s="61"/>
      <c r="J725" s="61"/>
      <c r="K725" s="61"/>
      <c r="L725" s="61"/>
      <c r="M725" s="61"/>
      <c r="N725" s="61"/>
      <c r="O725" s="61"/>
      <c r="P725" s="61"/>
      <c r="Q725" s="61"/>
      <c r="R725" s="61"/>
      <c r="S725" s="61"/>
      <c r="T725" s="61"/>
      <c r="U725" s="61"/>
      <c r="V725" s="61"/>
      <c r="W725" s="61"/>
      <c r="X725" s="61"/>
      <c r="Y725" s="61"/>
      <c r="Z725" s="61"/>
    </row>
    <row r="726" spans="1:26" ht="13">
      <c r="A726" s="61"/>
      <c r="B726" s="61"/>
      <c r="C726" s="61"/>
      <c r="D726" s="61"/>
      <c r="E726" s="61"/>
      <c r="F726" s="61"/>
      <c r="G726" s="179"/>
      <c r="H726" s="61"/>
      <c r="I726" s="61"/>
      <c r="J726" s="61"/>
      <c r="K726" s="61"/>
      <c r="L726" s="61"/>
      <c r="M726" s="61"/>
      <c r="N726" s="61"/>
      <c r="O726" s="61"/>
      <c r="P726" s="61"/>
      <c r="Q726" s="61"/>
      <c r="R726" s="61"/>
      <c r="S726" s="61"/>
      <c r="T726" s="61"/>
      <c r="U726" s="61"/>
      <c r="V726" s="61"/>
      <c r="W726" s="61"/>
      <c r="X726" s="61"/>
      <c r="Y726" s="61"/>
      <c r="Z726" s="61"/>
    </row>
    <row r="727" spans="1:26" ht="13">
      <c r="A727" s="61"/>
      <c r="B727" s="61"/>
      <c r="C727" s="61"/>
      <c r="D727" s="61"/>
      <c r="E727" s="61"/>
      <c r="F727" s="61"/>
      <c r="G727" s="179"/>
      <c r="H727" s="61"/>
      <c r="I727" s="61"/>
      <c r="J727" s="61"/>
      <c r="K727" s="61"/>
      <c r="L727" s="61"/>
      <c r="M727" s="61"/>
      <c r="N727" s="61"/>
      <c r="O727" s="61"/>
      <c r="P727" s="61"/>
      <c r="Q727" s="61"/>
      <c r="R727" s="61"/>
      <c r="S727" s="61"/>
      <c r="T727" s="61"/>
      <c r="U727" s="61"/>
      <c r="V727" s="61"/>
      <c r="W727" s="61"/>
      <c r="X727" s="61"/>
      <c r="Y727" s="61"/>
      <c r="Z727" s="61"/>
    </row>
    <row r="728" spans="1:26" ht="13">
      <c r="A728" s="61"/>
      <c r="B728" s="61"/>
      <c r="C728" s="61"/>
      <c r="D728" s="61"/>
      <c r="E728" s="61"/>
      <c r="F728" s="61"/>
      <c r="G728" s="179"/>
      <c r="H728" s="61"/>
      <c r="I728" s="61"/>
      <c r="J728" s="61"/>
      <c r="K728" s="61"/>
      <c r="L728" s="61"/>
      <c r="M728" s="61"/>
      <c r="N728" s="61"/>
      <c r="O728" s="61"/>
      <c r="P728" s="61"/>
      <c r="Q728" s="61"/>
      <c r="R728" s="61"/>
      <c r="S728" s="61"/>
      <c r="T728" s="61"/>
      <c r="U728" s="61"/>
      <c r="V728" s="61"/>
      <c r="W728" s="61"/>
      <c r="X728" s="61"/>
      <c r="Y728" s="61"/>
      <c r="Z728" s="61"/>
    </row>
    <row r="729" spans="1:26" ht="13">
      <c r="A729" s="61"/>
      <c r="B729" s="61"/>
      <c r="C729" s="61"/>
      <c r="D729" s="61"/>
      <c r="E729" s="61"/>
      <c r="F729" s="61"/>
      <c r="G729" s="179"/>
      <c r="H729" s="61"/>
      <c r="I729" s="61"/>
      <c r="J729" s="61"/>
      <c r="K729" s="61"/>
      <c r="L729" s="61"/>
      <c r="M729" s="61"/>
      <c r="N729" s="61"/>
      <c r="O729" s="61"/>
      <c r="P729" s="61"/>
      <c r="Q729" s="61"/>
      <c r="R729" s="61"/>
      <c r="S729" s="61"/>
      <c r="T729" s="61"/>
      <c r="U729" s="61"/>
      <c r="V729" s="61"/>
      <c r="W729" s="61"/>
      <c r="X729" s="61"/>
      <c r="Y729" s="61"/>
      <c r="Z729" s="61"/>
    </row>
    <row r="730" spans="1:26" ht="13">
      <c r="A730" s="61"/>
      <c r="B730" s="61"/>
      <c r="C730" s="61"/>
      <c r="D730" s="61"/>
      <c r="E730" s="61"/>
      <c r="F730" s="61"/>
      <c r="G730" s="179"/>
      <c r="H730" s="61"/>
      <c r="I730" s="61"/>
      <c r="J730" s="61"/>
      <c r="K730" s="61"/>
      <c r="L730" s="61"/>
      <c r="M730" s="61"/>
      <c r="N730" s="61"/>
      <c r="O730" s="61"/>
      <c r="P730" s="61"/>
      <c r="Q730" s="61"/>
      <c r="R730" s="61"/>
      <c r="S730" s="61"/>
      <c r="T730" s="61"/>
      <c r="U730" s="61"/>
      <c r="V730" s="61"/>
      <c r="W730" s="61"/>
      <c r="X730" s="61"/>
      <c r="Y730" s="61"/>
      <c r="Z730" s="61"/>
    </row>
    <row r="731" spans="1:26" ht="13">
      <c r="A731" s="61"/>
      <c r="B731" s="61"/>
      <c r="C731" s="61"/>
      <c r="D731" s="61"/>
      <c r="E731" s="61"/>
      <c r="F731" s="61"/>
      <c r="G731" s="179"/>
      <c r="H731" s="61"/>
      <c r="I731" s="61"/>
      <c r="J731" s="61"/>
      <c r="K731" s="61"/>
      <c r="L731" s="61"/>
      <c r="M731" s="61"/>
      <c r="N731" s="61"/>
      <c r="O731" s="61"/>
      <c r="P731" s="61"/>
      <c r="Q731" s="61"/>
      <c r="R731" s="61"/>
      <c r="S731" s="61"/>
      <c r="T731" s="61"/>
      <c r="U731" s="61"/>
      <c r="V731" s="61"/>
      <c r="W731" s="61"/>
      <c r="X731" s="61"/>
      <c r="Y731" s="61"/>
      <c r="Z731" s="61"/>
    </row>
    <row r="732" spans="1:26" ht="13">
      <c r="A732" s="61"/>
      <c r="B732" s="61"/>
      <c r="C732" s="61"/>
      <c r="D732" s="61"/>
      <c r="E732" s="61"/>
      <c r="F732" s="61"/>
      <c r="G732" s="179"/>
      <c r="H732" s="61"/>
      <c r="I732" s="61"/>
      <c r="J732" s="61"/>
      <c r="K732" s="61"/>
      <c r="L732" s="61"/>
      <c r="M732" s="61"/>
      <c r="N732" s="61"/>
      <c r="O732" s="61"/>
      <c r="P732" s="61"/>
      <c r="Q732" s="61"/>
      <c r="R732" s="61"/>
      <c r="S732" s="61"/>
      <c r="T732" s="61"/>
      <c r="U732" s="61"/>
      <c r="V732" s="61"/>
      <c r="W732" s="61"/>
      <c r="X732" s="61"/>
      <c r="Y732" s="61"/>
      <c r="Z732" s="61"/>
    </row>
    <row r="733" spans="1:26" ht="13">
      <c r="A733" s="61"/>
      <c r="B733" s="61"/>
      <c r="C733" s="61"/>
      <c r="D733" s="61"/>
      <c r="E733" s="61"/>
      <c r="F733" s="61"/>
      <c r="G733" s="179"/>
      <c r="H733" s="61"/>
      <c r="I733" s="61"/>
      <c r="J733" s="61"/>
      <c r="K733" s="61"/>
      <c r="L733" s="61"/>
      <c r="M733" s="61"/>
      <c r="N733" s="61"/>
      <c r="O733" s="61"/>
      <c r="P733" s="61"/>
      <c r="Q733" s="61"/>
      <c r="R733" s="61"/>
      <c r="S733" s="61"/>
      <c r="T733" s="61"/>
      <c r="U733" s="61"/>
      <c r="V733" s="61"/>
      <c r="W733" s="61"/>
      <c r="X733" s="61"/>
      <c r="Y733" s="61"/>
      <c r="Z733" s="61"/>
    </row>
    <row r="734" spans="1:26" ht="13">
      <c r="A734" s="61"/>
      <c r="B734" s="61"/>
      <c r="C734" s="61"/>
      <c r="D734" s="61"/>
      <c r="E734" s="61"/>
      <c r="F734" s="61"/>
      <c r="G734" s="179"/>
      <c r="H734" s="61"/>
      <c r="I734" s="61"/>
      <c r="J734" s="61"/>
      <c r="K734" s="61"/>
      <c r="L734" s="61"/>
      <c r="M734" s="61"/>
      <c r="N734" s="61"/>
      <c r="O734" s="61"/>
      <c r="P734" s="61"/>
      <c r="Q734" s="61"/>
      <c r="R734" s="61"/>
      <c r="S734" s="61"/>
      <c r="T734" s="61"/>
      <c r="U734" s="61"/>
      <c r="V734" s="61"/>
      <c r="W734" s="61"/>
      <c r="X734" s="61"/>
      <c r="Y734" s="61"/>
      <c r="Z734" s="61"/>
    </row>
    <row r="735" spans="1:26" ht="13">
      <c r="A735" s="61"/>
      <c r="B735" s="61"/>
      <c r="C735" s="61"/>
      <c r="D735" s="61"/>
      <c r="E735" s="61"/>
      <c r="F735" s="61"/>
      <c r="G735" s="179"/>
      <c r="H735" s="61"/>
      <c r="I735" s="61"/>
      <c r="J735" s="61"/>
      <c r="K735" s="61"/>
      <c r="L735" s="61"/>
      <c r="M735" s="61"/>
      <c r="N735" s="61"/>
      <c r="O735" s="61"/>
      <c r="P735" s="61"/>
      <c r="Q735" s="61"/>
      <c r="R735" s="61"/>
      <c r="S735" s="61"/>
      <c r="T735" s="61"/>
      <c r="U735" s="61"/>
      <c r="V735" s="61"/>
      <c r="W735" s="61"/>
      <c r="X735" s="61"/>
      <c r="Y735" s="61"/>
      <c r="Z735" s="61"/>
    </row>
    <row r="736" spans="1:26" ht="13">
      <c r="A736" s="61"/>
      <c r="B736" s="61"/>
      <c r="C736" s="61"/>
      <c r="D736" s="61"/>
      <c r="E736" s="61"/>
      <c r="F736" s="61"/>
      <c r="G736" s="179"/>
      <c r="H736" s="61"/>
      <c r="I736" s="61"/>
      <c r="J736" s="61"/>
      <c r="K736" s="61"/>
      <c r="L736" s="61"/>
      <c r="M736" s="61"/>
      <c r="N736" s="61"/>
      <c r="O736" s="61"/>
      <c r="P736" s="61"/>
      <c r="Q736" s="61"/>
      <c r="R736" s="61"/>
      <c r="S736" s="61"/>
      <c r="T736" s="61"/>
      <c r="U736" s="61"/>
      <c r="V736" s="61"/>
      <c r="W736" s="61"/>
      <c r="X736" s="61"/>
      <c r="Y736" s="61"/>
      <c r="Z736" s="61"/>
    </row>
    <row r="737" spans="1:26" ht="13">
      <c r="A737" s="61"/>
      <c r="B737" s="61"/>
      <c r="C737" s="61"/>
      <c r="D737" s="61"/>
      <c r="E737" s="61"/>
      <c r="F737" s="61"/>
      <c r="G737" s="179"/>
      <c r="H737" s="61"/>
      <c r="I737" s="61"/>
      <c r="J737" s="61"/>
      <c r="K737" s="61"/>
      <c r="L737" s="61"/>
      <c r="M737" s="61"/>
      <c r="N737" s="61"/>
      <c r="O737" s="61"/>
      <c r="P737" s="61"/>
      <c r="Q737" s="61"/>
      <c r="R737" s="61"/>
      <c r="S737" s="61"/>
      <c r="T737" s="61"/>
      <c r="U737" s="61"/>
      <c r="V737" s="61"/>
      <c r="W737" s="61"/>
      <c r="X737" s="61"/>
      <c r="Y737" s="61"/>
      <c r="Z737" s="61"/>
    </row>
    <row r="738" spans="1:26" ht="13">
      <c r="A738" s="61"/>
      <c r="B738" s="61"/>
      <c r="C738" s="61"/>
      <c r="D738" s="61"/>
      <c r="E738" s="61"/>
      <c r="F738" s="61"/>
      <c r="G738" s="179"/>
      <c r="H738" s="61"/>
      <c r="I738" s="61"/>
      <c r="J738" s="61"/>
      <c r="K738" s="61"/>
      <c r="L738" s="61"/>
      <c r="M738" s="61"/>
      <c r="N738" s="61"/>
      <c r="O738" s="61"/>
      <c r="P738" s="61"/>
      <c r="Q738" s="61"/>
      <c r="R738" s="61"/>
      <c r="S738" s="61"/>
      <c r="T738" s="61"/>
      <c r="U738" s="61"/>
      <c r="V738" s="61"/>
      <c r="W738" s="61"/>
      <c r="X738" s="61"/>
      <c r="Y738" s="61"/>
      <c r="Z738" s="61"/>
    </row>
    <row r="739" spans="1:26" ht="13">
      <c r="A739" s="61"/>
      <c r="B739" s="61"/>
      <c r="C739" s="61"/>
      <c r="D739" s="61"/>
      <c r="E739" s="61"/>
      <c r="F739" s="61"/>
      <c r="G739" s="179"/>
      <c r="H739" s="61"/>
      <c r="I739" s="61"/>
      <c r="J739" s="61"/>
      <c r="K739" s="61"/>
      <c r="L739" s="61"/>
      <c r="M739" s="61"/>
      <c r="N739" s="61"/>
      <c r="O739" s="61"/>
      <c r="P739" s="61"/>
      <c r="Q739" s="61"/>
      <c r="R739" s="61"/>
      <c r="S739" s="61"/>
      <c r="T739" s="61"/>
      <c r="U739" s="61"/>
      <c r="V739" s="61"/>
      <c r="W739" s="61"/>
      <c r="X739" s="61"/>
      <c r="Y739" s="61"/>
      <c r="Z739" s="61"/>
    </row>
    <row r="740" spans="1:26" ht="13">
      <c r="A740" s="61"/>
      <c r="B740" s="61"/>
      <c r="C740" s="61"/>
      <c r="D740" s="61"/>
      <c r="E740" s="61"/>
      <c r="F740" s="61"/>
      <c r="G740" s="179"/>
      <c r="H740" s="61"/>
      <c r="I740" s="61"/>
      <c r="J740" s="61"/>
      <c r="K740" s="61"/>
      <c r="L740" s="61"/>
      <c r="M740" s="61"/>
      <c r="N740" s="61"/>
      <c r="O740" s="61"/>
      <c r="P740" s="61"/>
      <c r="Q740" s="61"/>
      <c r="R740" s="61"/>
      <c r="S740" s="61"/>
      <c r="T740" s="61"/>
      <c r="U740" s="61"/>
      <c r="V740" s="61"/>
      <c r="W740" s="61"/>
      <c r="X740" s="61"/>
      <c r="Y740" s="61"/>
      <c r="Z740" s="61"/>
    </row>
    <row r="741" spans="1:26" ht="13">
      <c r="A741" s="61"/>
      <c r="B741" s="61"/>
      <c r="C741" s="61"/>
      <c r="D741" s="61"/>
      <c r="E741" s="61"/>
      <c r="F741" s="61"/>
      <c r="G741" s="179"/>
      <c r="H741" s="61"/>
      <c r="I741" s="61"/>
      <c r="J741" s="61"/>
      <c r="K741" s="61"/>
      <c r="L741" s="61"/>
      <c r="M741" s="61"/>
      <c r="N741" s="61"/>
      <c r="O741" s="61"/>
      <c r="P741" s="61"/>
      <c r="Q741" s="61"/>
      <c r="R741" s="61"/>
      <c r="S741" s="61"/>
      <c r="T741" s="61"/>
      <c r="U741" s="61"/>
      <c r="V741" s="61"/>
      <c r="W741" s="61"/>
      <c r="X741" s="61"/>
      <c r="Y741" s="61"/>
      <c r="Z741" s="61"/>
    </row>
    <row r="742" spans="1:26" ht="13">
      <c r="A742" s="61"/>
      <c r="B742" s="61"/>
      <c r="C742" s="61"/>
      <c r="D742" s="61"/>
      <c r="E742" s="61"/>
      <c r="F742" s="61"/>
      <c r="G742" s="179"/>
      <c r="H742" s="61"/>
      <c r="I742" s="61"/>
      <c r="J742" s="61"/>
      <c r="K742" s="61"/>
      <c r="L742" s="61"/>
      <c r="M742" s="61"/>
      <c r="N742" s="61"/>
      <c r="O742" s="61"/>
      <c r="P742" s="61"/>
      <c r="Q742" s="61"/>
      <c r="R742" s="61"/>
      <c r="S742" s="61"/>
      <c r="T742" s="61"/>
      <c r="U742" s="61"/>
      <c r="V742" s="61"/>
      <c r="W742" s="61"/>
      <c r="X742" s="61"/>
      <c r="Y742" s="61"/>
      <c r="Z742" s="61"/>
    </row>
    <row r="743" spans="1:26" ht="13">
      <c r="A743" s="61"/>
      <c r="B743" s="61"/>
      <c r="C743" s="61"/>
      <c r="D743" s="61"/>
      <c r="E743" s="61"/>
      <c r="F743" s="61"/>
      <c r="G743" s="179"/>
      <c r="H743" s="61"/>
      <c r="I743" s="61"/>
      <c r="J743" s="61"/>
      <c r="K743" s="61"/>
      <c r="L743" s="61"/>
      <c r="M743" s="61"/>
      <c r="N743" s="61"/>
      <c r="O743" s="61"/>
      <c r="P743" s="61"/>
      <c r="Q743" s="61"/>
      <c r="R743" s="61"/>
      <c r="S743" s="61"/>
      <c r="T743" s="61"/>
      <c r="U743" s="61"/>
      <c r="V743" s="61"/>
      <c r="W743" s="61"/>
      <c r="X743" s="61"/>
      <c r="Y743" s="61"/>
      <c r="Z743" s="61"/>
    </row>
    <row r="744" spans="1:26" ht="13">
      <c r="A744" s="61"/>
      <c r="B744" s="61"/>
      <c r="C744" s="61"/>
      <c r="D744" s="61"/>
      <c r="E744" s="61"/>
      <c r="F744" s="61"/>
      <c r="G744" s="179"/>
      <c r="H744" s="61"/>
      <c r="I744" s="61"/>
      <c r="J744" s="61"/>
      <c r="K744" s="61"/>
      <c r="L744" s="61"/>
      <c r="M744" s="61"/>
      <c r="N744" s="61"/>
      <c r="O744" s="61"/>
      <c r="P744" s="61"/>
      <c r="Q744" s="61"/>
      <c r="R744" s="61"/>
      <c r="S744" s="61"/>
      <c r="T744" s="61"/>
      <c r="U744" s="61"/>
      <c r="V744" s="61"/>
      <c r="W744" s="61"/>
      <c r="X744" s="61"/>
      <c r="Y744" s="61"/>
      <c r="Z744" s="61"/>
    </row>
    <row r="745" spans="1:26" ht="13">
      <c r="A745" s="61"/>
      <c r="B745" s="61"/>
      <c r="C745" s="61"/>
      <c r="D745" s="61"/>
      <c r="E745" s="61"/>
      <c r="F745" s="61"/>
      <c r="G745" s="179"/>
      <c r="H745" s="61"/>
      <c r="I745" s="61"/>
      <c r="J745" s="61"/>
      <c r="K745" s="61"/>
      <c r="L745" s="61"/>
      <c r="M745" s="61"/>
      <c r="N745" s="61"/>
      <c r="O745" s="61"/>
      <c r="P745" s="61"/>
      <c r="Q745" s="61"/>
      <c r="R745" s="61"/>
      <c r="S745" s="61"/>
      <c r="T745" s="61"/>
      <c r="U745" s="61"/>
      <c r="V745" s="61"/>
      <c r="W745" s="61"/>
      <c r="X745" s="61"/>
      <c r="Y745" s="61"/>
      <c r="Z745" s="61"/>
    </row>
    <row r="746" spans="1:26" ht="13">
      <c r="A746" s="61"/>
      <c r="B746" s="61"/>
      <c r="C746" s="61"/>
      <c r="D746" s="61"/>
      <c r="E746" s="61"/>
      <c r="F746" s="61"/>
      <c r="G746" s="179"/>
      <c r="H746" s="61"/>
      <c r="I746" s="61"/>
      <c r="J746" s="61"/>
      <c r="K746" s="61"/>
      <c r="L746" s="61"/>
      <c r="M746" s="61"/>
      <c r="N746" s="61"/>
      <c r="O746" s="61"/>
      <c r="P746" s="61"/>
      <c r="Q746" s="61"/>
      <c r="R746" s="61"/>
      <c r="S746" s="61"/>
      <c r="T746" s="61"/>
      <c r="U746" s="61"/>
      <c r="V746" s="61"/>
      <c r="W746" s="61"/>
      <c r="X746" s="61"/>
      <c r="Y746" s="61"/>
      <c r="Z746" s="61"/>
    </row>
    <row r="747" spans="1:26" ht="13">
      <c r="A747" s="61"/>
      <c r="B747" s="61"/>
      <c r="C747" s="61"/>
      <c r="D747" s="61"/>
      <c r="E747" s="61"/>
      <c r="F747" s="61"/>
      <c r="G747" s="179"/>
      <c r="H747" s="61"/>
      <c r="I747" s="61"/>
      <c r="J747" s="61"/>
      <c r="K747" s="61"/>
      <c r="L747" s="61"/>
      <c r="M747" s="61"/>
      <c r="N747" s="61"/>
      <c r="O747" s="61"/>
      <c r="P747" s="61"/>
      <c r="Q747" s="61"/>
      <c r="R747" s="61"/>
      <c r="S747" s="61"/>
      <c r="T747" s="61"/>
      <c r="U747" s="61"/>
      <c r="V747" s="61"/>
      <c r="W747" s="61"/>
      <c r="X747" s="61"/>
      <c r="Y747" s="61"/>
      <c r="Z747" s="61"/>
    </row>
    <row r="748" spans="1:26" ht="13">
      <c r="A748" s="61"/>
      <c r="B748" s="61"/>
      <c r="C748" s="61"/>
      <c r="D748" s="61"/>
      <c r="E748" s="61"/>
      <c r="F748" s="61"/>
      <c r="G748" s="179"/>
      <c r="H748" s="61"/>
      <c r="I748" s="61"/>
      <c r="J748" s="61"/>
      <c r="K748" s="61"/>
      <c r="L748" s="61"/>
      <c r="M748" s="61"/>
      <c r="N748" s="61"/>
      <c r="O748" s="61"/>
      <c r="P748" s="61"/>
      <c r="Q748" s="61"/>
      <c r="R748" s="61"/>
      <c r="S748" s="61"/>
      <c r="T748" s="61"/>
      <c r="U748" s="61"/>
      <c r="V748" s="61"/>
      <c r="W748" s="61"/>
      <c r="X748" s="61"/>
      <c r="Y748" s="61"/>
      <c r="Z748" s="61"/>
    </row>
    <row r="749" spans="1:26" ht="13">
      <c r="A749" s="61"/>
      <c r="B749" s="61"/>
      <c r="C749" s="61"/>
      <c r="D749" s="61"/>
      <c r="E749" s="61"/>
      <c r="F749" s="61"/>
      <c r="G749" s="179"/>
      <c r="H749" s="61"/>
      <c r="I749" s="61"/>
      <c r="J749" s="61"/>
      <c r="K749" s="61"/>
      <c r="L749" s="61"/>
      <c r="M749" s="61"/>
      <c r="N749" s="61"/>
      <c r="O749" s="61"/>
      <c r="P749" s="61"/>
      <c r="Q749" s="61"/>
      <c r="R749" s="61"/>
      <c r="S749" s="61"/>
      <c r="T749" s="61"/>
      <c r="U749" s="61"/>
      <c r="V749" s="61"/>
      <c r="W749" s="61"/>
      <c r="X749" s="61"/>
      <c r="Y749" s="61"/>
      <c r="Z749" s="61"/>
    </row>
    <row r="750" spans="1:26" ht="13">
      <c r="A750" s="61"/>
      <c r="B750" s="61"/>
      <c r="C750" s="61"/>
      <c r="D750" s="61"/>
      <c r="E750" s="61"/>
      <c r="F750" s="61"/>
      <c r="G750" s="179"/>
      <c r="H750" s="61"/>
      <c r="I750" s="61"/>
      <c r="J750" s="61"/>
      <c r="K750" s="61"/>
      <c r="L750" s="61"/>
      <c r="M750" s="61"/>
      <c r="N750" s="61"/>
      <c r="O750" s="61"/>
      <c r="P750" s="61"/>
      <c r="Q750" s="61"/>
      <c r="R750" s="61"/>
      <c r="S750" s="61"/>
      <c r="T750" s="61"/>
      <c r="U750" s="61"/>
      <c r="V750" s="61"/>
      <c r="W750" s="61"/>
      <c r="X750" s="61"/>
      <c r="Y750" s="61"/>
      <c r="Z750" s="61"/>
    </row>
    <row r="751" spans="1:26" ht="13">
      <c r="A751" s="61"/>
      <c r="B751" s="61"/>
      <c r="C751" s="61"/>
      <c r="D751" s="61"/>
      <c r="E751" s="61"/>
      <c r="F751" s="61"/>
      <c r="G751" s="179"/>
      <c r="H751" s="61"/>
      <c r="I751" s="61"/>
      <c r="J751" s="61"/>
      <c r="K751" s="61"/>
      <c r="L751" s="61"/>
      <c r="M751" s="61"/>
      <c r="N751" s="61"/>
      <c r="O751" s="61"/>
      <c r="P751" s="61"/>
      <c r="Q751" s="61"/>
      <c r="R751" s="61"/>
      <c r="S751" s="61"/>
      <c r="T751" s="61"/>
      <c r="U751" s="61"/>
      <c r="V751" s="61"/>
      <c r="W751" s="61"/>
      <c r="X751" s="61"/>
      <c r="Y751" s="61"/>
      <c r="Z751" s="61"/>
    </row>
    <row r="752" spans="1:26" ht="13">
      <c r="A752" s="61"/>
      <c r="B752" s="61"/>
      <c r="C752" s="61"/>
      <c r="D752" s="61"/>
      <c r="E752" s="61"/>
      <c r="F752" s="61"/>
      <c r="G752" s="179"/>
      <c r="H752" s="61"/>
      <c r="I752" s="61"/>
      <c r="J752" s="61"/>
      <c r="K752" s="61"/>
      <c r="L752" s="61"/>
      <c r="M752" s="61"/>
      <c r="N752" s="61"/>
      <c r="O752" s="61"/>
      <c r="P752" s="61"/>
      <c r="Q752" s="61"/>
      <c r="R752" s="61"/>
      <c r="S752" s="61"/>
      <c r="T752" s="61"/>
      <c r="U752" s="61"/>
      <c r="V752" s="61"/>
      <c r="W752" s="61"/>
      <c r="X752" s="61"/>
      <c r="Y752" s="61"/>
      <c r="Z752" s="61"/>
    </row>
    <row r="753" spans="1:26" ht="13">
      <c r="A753" s="61"/>
      <c r="B753" s="61"/>
      <c r="C753" s="61"/>
      <c r="D753" s="61"/>
      <c r="E753" s="61"/>
      <c r="F753" s="61"/>
      <c r="G753" s="179"/>
      <c r="H753" s="61"/>
      <c r="I753" s="61"/>
      <c r="J753" s="61"/>
      <c r="K753" s="61"/>
      <c r="L753" s="61"/>
      <c r="M753" s="61"/>
      <c r="N753" s="61"/>
      <c r="O753" s="61"/>
      <c r="P753" s="61"/>
      <c r="Q753" s="61"/>
      <c r="R753" s="61"/>
      <c r="S753" s="61"/>
      <c r="T753" s="61"/>
      <c r="U753" s="61"/>
      <c r="V753" s="61"/>
      <c r="W753" s="61"/>
      <c r="X753" s="61"/>
      <c r="Y753" s="61"/>
      <c r="Z753" s="61"/>
    </row>
    <row r="754" spans="1:26" ht="13">
      <c r="A754" s="61"/>
      <c r="B754" s="61"/>
      <c r="C754" s="61"/>
      <c r="D754" s="61"/>
      <c r="E754" s="61"/>
      <c r="F754" s="61"/>
      <c r="G754" s="179"/>
      <c r="H754" s="61"/>
      <c r="I754" s="61"/>
      <c r="J754" s="61"/>
      <c r="K754" s="61"/>
      <c r="L754" s="61"/>
      <c r="M754" s="61"/>
      <c r="N754" s="61"/>
      <c r="O754" s="61"/>
      <c r="P754" s="61"/>
      <c r="Q754" s="61"/>
      <c r="R754" s="61"/>
      <c r="S754" s="61"/>
      <c r="T754" s="61"/>
      <c r="U754" s="61"/>
      <c r="V754" s="61"/>
      <c r="W754" s="61"/>
      <c r="X754" s="61"/>
      <c r="Y754" s="61"/>
      <c r="Z754" s="61"/>
    </row>
    <row r="755" spans="1:26" ht="13">
      <c r="A755" s="61"/>
      <c r="B755" s="61"/>
      <c r="C755" s="61"/>
      <c r="D755" s="61"/>
      <c r="E755" s="61"/>
      <c r="F755" s="61"/>
      <c r="G755" s="179"/>
      <c r="H755" s="61"/>
      <c r="I755" s="61"/>
      <c r="J755" s="61"/>
      <c r="K755" s="61"/>
      <c r="L755" s="61"/>
      <c r="M755" s="61"/>
      <c r="N755" s="61"/>
      <c r="O755" s="61"/>
      <c r="P755" s="61"/>
      <c r="Q755" s="61"/>
      <c r="R755" s="61"/>
      <c r="S755" s="61"/>
      <c r="T755" s="61"/>
      <c r="U755" s="61"/>
      <c r="V755" s="61"/>
      <c r="W755" s="61"/>
      <c r="X755" s="61"/>
      <c r="Y755" s="61"/>
      <c r="Z755" s="61"/>
    </row>
    <row r="756" spans="1:26" ht="13">
      <c r="A756" s="61"/>
      <c r="B756" s="61"/>
      <c r="C756" s="61"/>
      <c r="D756" s="61"/>
      <c r="E756" s="61"/>
      <c r="F756" s="61"/>
      <c r="G756" s="179"/>
      <c r="H756" s="61"/>
      <c r="I756" s="61"/>
      <c r="J756" s="61"/>
      <c r="K756" s="61"/>
      <c r="L756" s="61"/>
      <c r="M756" s="61"/>
      <c r="N756" s="61"/>
      <c r="O756" s="61"/>
      <c r="P756" s="61"/>
      <c r="Q756" s="61"/>
      <c r="R756" s="61"/>
      <c r="S756" s="61"/>
      <c r="T756" s="61"/>
      <c r="U756" s="61"/>
      <c r="V756" s="61"/>
      <c r="W756" s="61"/>
      <c r="X756" s="61"/>
      <c r="Y756" s="61"/>
      <c r="Z756" s="61"/>
    </row>
    <row r="757" spans="1:26" ht="13">
      <c r="A757" s="61"/>
      <c r="B757" s="61"/>
      <c r="C757" s="61"/>
      <c r="D757" s="61"/>
      <c r="E757" s="61"/>
      <c r="F757" s="61"/>
      <c r="G757" s="179"/>
      <c r="H757" s="61"/>
      <c r="I757" s="61"/>
      <c r="J757" s="61"/>
      <c r="K757" s="61"/>
      <c r="L757" s="61"/>
      <c r="M757" s="61"/>
      <c r="N757" s="61"/>
      <c r="O757" s="61"/>
      <c r="P757" s="61"/>
      <c r="Q757" s="61"/>
      <c r="R757" s="61"/>
      <c r="S757" s="61"/>
      <c r="T757" s="61"/>
      <c r="U757" s="61"/>
      <c r="V757" s="61"/>
      <c r="W757" s="61"/>
      <c r="X757" s="61"/>
      <c r="Y757" s="61"/>
      <c r="Z757" s="61"/>
    </row>
    <row r="758" spans="1:26" ht="13">
      <c r="A758" s="61"/>
      <c r="B758" s="61"/>
      <c r="C758" s="61"/>
      <c r="D758" s="61"/>
      <c r="E758" s="61"/>
      <c r="F758" s="61"/>
      <c r="G758" s="179"/>
      <c r="H758" s="61"/>
      <c r="I758" s="61"/>
      <c r="J758" s="61"/>
      <c r="K758" s="61"/>
      <c r="L758" s="61"/>
      <c r="M758" s="61"/>
      <c r="N758" s="61"/>
      <c r="O758" s="61"/>
      <c r="P758" s="61"/>
      <c r="Q758" s="61"/>
      <c r="R758" s="61"/>
      <c r="S758" s="61"/>
      <c r="T758" s="61"/>
      <c r="U758" s="61"/>
      <c r="V758" s="61"/>
      <c r="W758" s="61"/>
      <c r="X758" s="61"/>
      <c r="Y758" s="61"/>
      <c r="Z758" s="61"/>
    </row>
    <row r="759" spans="1:26" ht="13">
      <c r="A759" s="61"/>
      <c r="B759" s="61"/>
      <c r="C759" s="61"/>
      <c r="D759" s="61"/>
      <c r="E759" s="61"/>
      <c r="F759" s="61"/>
      <c r="G759" s="179"/>
      <c r="H759" s="61"/>
      <c r="I759" s="61"/>
      <c r="J759" s="61"/>
      <c r="K759" s="61"/>
      <c r="L759" s="61"/>
      <c r="M759" s="61"/>
      <c r="N759" s="61"/>
      <c r="O759" s="61"/>
      <c r="P759" s="61"/>
      <c r="Q759" s="61"/>
      <c r="R759" s="61"/>
      <c r="S759" s="61"/>
      <c r="T759" s="61"/>
      <c r="U759" s="61"/>
      <c r="V759" s="61"/>
      <c r="W759" s="61"/>
      <c r="X759" s="61"/>
      <c r="Y759" s="61"/>
      <c r="Z759" s="61"/>
    </row>
    <row r="760" spans="1:26" ht="13">
      <c r="A760" s="61"/>
      <c r="B760" s="61"/>
      <c r="C760" s="61"/>
      <c r="D760" s="61"/>
      <c r="E760" s="61"/>
      <c r="F760" s="61"/>
      <c r="G760" s="179"/>
      <c r="H760" s="61"/>
      <c r="I760" s="61"/>
      <c r="J760" s="61"/>
      <c r="K760" s="61"/>
      <c r="L760" s="61"/>
      <c r="M760" s="61"/>
      <c r="N760" s="61"/>
      <c r="O760" s="61"/>
      <c r="P760" s="61"/>
      <c r="Q760" s="61"/>
      <c r="R760" s="61"/>
      <c r="S760" s="61"/>
      <c r="T760" s="61"/>
      <c r="U760" s="61"/>
      <c r="V760" s="61"/>
      <c r="W760" s="61"/>
      <c r="X760" s="61"/>
      <c r="Y760" s="61"/>
      <c r="Z760" s="61"/>
    </row>
    <row r="761" spans="1:26" ht="13">
      <c r="A761" s="61"/>
      <c r="B761" s="61"/>
      <c r="C761" s="61"/>
      <c r="D761" s="61"/>
      <c r="E761" s="61"/>
      <c r="F761" s="61"/>
      <c r="G761" s="179"/>
      <c r="H761" s="61"/>
      <c r="I761" s="61"/>
      <c r="J761" s="61"/>
      <c r="K761" s="61"/>
      <c r="L761" s="61"/>
      <c r="M761" s="61"/>
      <c r="N761" s="61"/>
      <c r="O761" s="61"/>
      <c r="P761" s="61"/>
      <c r="Q761" s="61"/>
      <c r="R761" s="61"/>
      <c r="S761" s="61"/>
      <c r="T761" s="61"/>
      <c r="U761" s="61"/>
      <c r="V761" s="61"/>
      <c r="W761" s="61"/>
      <c r="X761" s="61"/>
      <c r="Y761" s="61"/>
      <c r="Z761" s="61"/>
    </row>
    <row r="762" spans="1:26" ht="13">
      <c r="A762" s="61"/>
      <c r="B762" s="61"/>
      <c r="C762" s="61"/>
      <c r="D762" s="61"/>
      <c r="E762" s="61"/>
      <c r="F762" s="61"/>
      <c r="G762" s="179"/>
      <c r="H762" s="61"/>
      <c r="I762" s="61"/>
      <c r="J762" s="61"/>
      <c r="K762" s="61"/>
      <c r="L762" s="61"/>
      <c r="M762" s="61"/>
      <c r="N762" s="61"/>
      <c r="O762" s="61"/>
      <c r="P762" s="61"/>
      <c r="Q762" s="61"/>
      <c r="R762" s="61"/>
      <c r="S762" s="61"/>
      <c r="T762" s="61"/>
      <c r="U762" s="61"/>
      <c r="V762" s="61"/>
      <c r="W762" s="61"/>
      <c r="X762" s="61"/>
      <c r="Y762" s="61"/>
      <c r="Z762" s="61"/>
    </row>
    <row r="763" spans="1:26" ht="13">
      <c r="A763" s="61"/>
      <c r="B763" s="61"/>
      <c r="C763" s="61"/>
      <c r="D763" s="61"/>
      <c r="E763" s="61"/>
      <c r="F763" s="61"/>
      <c r="G763" s="179"/>
      <c r="H763" s="61"/>
      <c r="I763" s="61"/>
      <c r="J763" s="61"/>
      <c r="K763" s="61"/>
      <c r="L763" s="61"/>
      <c r="M763" s="61"/>
      <c r="N763" s="61"/>
      <c r="O763" s="61"/>
      <c r="P763" s="61"/>
      <c r="Q763" s="61"/>
      <c r="R763" s="61"/>
      <c r="S763" s="61"/>
      <c r="T763" s="61"/>
      <c r="U763" s="61"/>
      <c r="V763" s="61"/>
      <c r="W763" s="61"/>
      <c r="X763" s="61"/>
      <c r="Y763" s="61"/>
      <c r="Z763" s="61"/>
    </row>
    <row r="764" spans="1:26" ht="13">
      <c r="A764" s="61"/>
      <c r="B764" s="61"/>
      <c r="C764" s="61"/>
      <c r="D764" s="61"/>
      <c r="E764" s="61"/>
      <c r="F764" s="61"/>
      <c r="G764" s="179"/>
      <c r="H764" s="61"/>
      <c r="I764" s="61"/>
      <c r="J764" s="61"/>
      <c r="K764" s="61"/>
      <c r="L764" s="61"/>
      <c r="M764" s="61"/>
      <c r="N764" s="61"/>
      <c r="O764" s="61"/>
      <c r="P764" s="61"/>
      <c r="Q764" s="61"/>
      <c r="R764" s="61"/>
      <c r="S764" s="61"/>
      <c r="T764" s="61"/>
      <c r="U764" s="61"/>
      <c r="V764" s="61"/>
      <c r="W764" s="61"/>
      <c r="X764" s="61"/>
      <c r="Y764" s="61"/>
      <c r="Z764" s="61"/>
    </row>
    <row r="765" spans="1:26" ht="13">
      <c r="A765" s="61"/>
      <c r="B765" s="61"/>
      <c r="C765" s="61"/>
      <c r="D765" s="61"/>
      <c r="E765" s="61"/>
      <c r="F765" s="61"/>
      <c r="G765" s="179"/>
      <c r="H765" s="61"/>
      <c r="I765" s="61"/>
      <c r="J765" s="61"/>
      <c r="K765" s="61"/>
      <c r="L765" s="61"/>
      <c r="M765" s="61"/>
      <c r="N765" s="61"/>
      <c r="O765" s="61"/>
      <c r="P765" s="61"/>
      <c r="Q765" s="61"/>
      <c r="R765" s="61"/>
      <c r="S765" s="61"/>
      <c r="T765" s="61"/>
      <c r="U765" s="61"/>
      <c r="V765" s="61"/>
      <c r="W765" s="61"/>
      <c r="X765" s="61"/>
      <c r="Y765" s="61"/>
      <c r="Z765" s="61"/>
    </row>
    <row r="766" spans="1:26" ht="13">
      <c r="A766" s="61"/>
      <c r="B766" s="61"/>
      <c r="C766" s="61"/>
      <c r="D766" s="61"/>
      <c r="E766" s="61"/>
      <c r="F766" s="61"/>
      <c r="G766" s="179"/>
      <c r="H766" s="61"/>
      <c r="I766" s="61"/>
      <c r="J766" s="61"/>
      <c r="K766" s="61"/>
      <c r="L766" s="61"/>
      <c r="M766" s="61"/>
      <c r="N766" s="61"/>
      <c r="O766" s="61"/>
      <c r="P766" s="61"/>
      <c r="Q766" s="61"/>
      <c r="R766" s="61"/>
      <c r="S766" s="61"/>
      <c r="T766" s="61"/>
      <c r="U766" s="61"/>
      <c r="V766" s="61"/>
      <c r="W766" s="61"/>
      <c r="X766" s="61"/>
      <c r="Y766" s="61"/>
      <c r="Z766" s="61"/>
    </row>
    <row r="767" spans="1:26" ht="13">
      <c r="A767" s="61"/>
      <c r="B767" s="61"/>
      <c r="C767" s="61"/>
      <c r="D767" s="61"/>
      <c r="E767" s="61"/>
      <c r="F767" s="61"/>
      <c r="G767" s="179"/>
      <c r="H767" s="61"/>
      <c r="I767" s="61"/>
      <c r="J767" s="61"/>
      <c r="K767" s="61"/>
      <c r="L767" s="61"/>
      <c r="M767" s="61"/>
      <c r="N767" s="61"/>
      <c r="O767" s="61"/>
      <c r="P767" s="61"/>
      <c r="Q767" s="61"/>
      <c r="R767" s="61"/>
      <c r="S767" s="61"/>
      <c r="T767" s="61"/>
      <c r="U767" s="61"/>
      <c r="V767" s="61"/>
      <c r="W767" s="61"/>
      <c r="X767" s="61"/>
      <c r="Y767" s="61"/>
      <c r="Z767" s="61"/>
    </row>
    <row r="768" spans="1:26" ht="13">
      <c r="A768" s="61"/>
      <c r="B768" s="61"/>
      <c r="C768" s="61"/>
      <c r="D768" s="61"/>
      <c r="E768" s="61"/>
      <c r="F768" s="61"/>
      <c r="G768" s="179"/>
      <c r="H768" s="61"/>
      <c r="I768" s="61"/>
      <c r="J768" s="61"/>
      <c r="K768" s="61"/>
      <c r="L768" s="61"/>
      <c r="M768" s="61"/>
      <c r="N768" s="61"/>
      <c r="O768" s="61"/>
      <c r="P768" s="61"/>
      <c r="Q768" s="61"/>
      <c r="R768" s="61"/>
      <c r="S768" s="61"/>
      <c r="T768" s="61"/>
      <c r="U768" s="61"/>
      <c r="V768" s="61"/>
      <c r="W768" s="61"/>
      <c r="X768" s="61"/>
      <c r="Y768" s="61"/>
      <c r="Z768" s="61"/>
    </row>
    <row r="769" spans="1:26" ht="13">
      <c r="A769" s="61"/>
      <c r="B769" s="61"/>
      <c r="C769" s="61"/>
      <c r="D769" s="61"/>
      <c r="E769" s="61"/>
      <c r="F769" s="61"/>
      <c r="G769" s="179"/>
      <c r="H769" s="61"/>
      <c r="I769" s="61"/>
      <c r="J769" s="61"/>
      <c r="K769" s="61"/>
      <c r="L769" s="61"/>
      <c r="M769" s="61"/>
      <c r="N769" s="61"/>
      <c r="O769" s="61"/>
      <c r="P769" s="61"/>
      <c r="Q769" s="61"/>
      <c r="R769" s="61"/>
      <c r="S769" s="61"/>
      <c r="T769" s="61"/>
      <c r="U769" s="61"/>
      <c r="V769" s="61"/>
      <c r="W769" s="61"/>
      <c r="X769" s="61"/>
      <c r="Y769" s="61"/>
      <c r="Z769" s="61"/>
    </row>
    <row r="770" spans="1:26" ht="13">
      <c r="A770" s="61"/>
      <c r="B770" s="61"/>
      <c r="C770" s="61"/>
      <c r="D770" s="61"/>
      <c r="E770" s="61"/>
      <c r="F770" s="61"/>
      <c r="G770" s="179"/>
      <c r="H770" s="61"/>
      <c r="I770" s="61"/>
      <c r="J770" s="61"/>
      <c r="K770" s="61"/>
      <c r="L770" s="61"/>
      <c r="M770" s="61"/>
      <c r="N770" s="61"/>
      <c r="O770" s="61"/>
      <c r="P770" s="61"/>
      <c r="Q770" s="61"/>
      <c r="R770" s="61"/>
      <c r="S770" s="61"/>
      <c r="T770" s="61"/>
      <c r="U770" s="61"/>
      <c r="V770" s="61"/>
      <c r="W770" s="61"/>
      <c r="X770" s="61"/>
      <c r="Y770" s="61"/>
      <c r="Z770" s="61"/>
    </row>
    <row r="771" spans="1:26" ht="13">
      <c r="A771" s="61"/>
      <c r="B771" s="61"/>
      <c r="C771" s="61"/>
      <c r="D771" s="61"/>
      <c r="E771" s="61"/>
      <c r="F771" s="61"/>
      <c r="G771" s="179"/>
      <c r="H771" s="61"/>
      <c r="I771" s="61"/>
      <c r="J771" s="61"/>
      <c r="K771" s="61"/>
      <c r="L771" s="61"/>
      <c r="M771" s="61"/>
      <c r="N771" s="61"/>
      <c r="O771" s="61"/>
      <c r="P771" s="61"/>
      <c r="Q771" s="61"/>
      <c r="R771" s="61"/>
      <c r="S771" s="61"/>
      <c r="T771" s="61"/>
      <c r="U771" s="61"/>
      <c r="V771" s="61"/>
      <c r="W771" s="61"/>
      <c r="X771" s="61"/>
      <c r="Y771" s="61"/>
      <c r="Z771" s="61"/>
    </row>
    <row r="772" spans="1:26" ht="13">
      <c r="A772" s="61"/>
      <c r="B772" s="61"/>
      <c r="C772" s="61"/>
      <c r="D772" s="61"/>
      <c r="E772" s="61"/>
      <c r="F772" s="61"/>
      <c r="G772" s="179"/>
      <c r="H772" s="61"/>
      <c r="I772" s="61"/>
      <c r="J772" s="61"/>
      <c r="K772" s="61"/>
      <c r="L772" s="61"/>
      <c r="M772" s="61"/>
      <c r="N772" s="61"/>
      <c r="O772" s="61"/>
      <c r="P772" s="61"/>
      <c r="Q772" s="61"/>
      <c r="R772" s="61"/>
      <c r="S772" s="61"/>
      <c r="T772" s="61"/>
      <c r="U772" s="61"/>
      <c r="V772" s="61"/>
      <c r="W772" s="61"/>
      <c r="X772" s="61"/>
      <c r="Y772" s="61"/>
      <c r="Z772" s="61"/>
    </row>
    <row r="773" spans="1:26" ht="13">
      <c r="A773" s="61"/>
      <c r="B773" s="61"/>
      <c r="C773" s="61"/>
      <c r="D773" s="61"/>
      <c r="E773" s="61"/>
      <c r="F773" s="61"/>
      <c r="G773" s="179"/>
      <c r="H773" s="61"/>
      <c r="I773" s="61"/>
      <c r="J773" s="61"/>
      <c r="K773" s="61"/>
      <c r="L773" s="61"/>
      <c r="M773" s="61"/>
      <c r="N773" s="61"/>
      <c r="O773" s="61"/>
      <c r="P773" s="61"/>
      <c r="Q773" s="61"/>
      <c r="R773" s="61"/>
      <c r="S773" s="61"/>
      <c r="T773" s="61"/>
      <c r="U773" s="61"/>
      <c r="V773" s="61"/>
      <c r="W773" s="61"/>
      <c r="X773" s="61"/>
      <c r="Y773" s="61"/>
      <c r="Z773" s="61"/>
    </row>
    <row r="774" spans="1:26" ht="13">
      <c r="A774" s="61"/>
      <c r="B774" s="61"/>
      <c r="C774" s="61"/>
      <c r="D774" s="61"/>
      <c r="E774" s="61"/>
      <c r="F774" s="61"/>
      <c r="G774" s="179"/>
      <c r="H774" s="61"/>
      <c r="I774" s="61"/>
      <c r="J774" s="61"/>
      <c r="K774" s="61"/>
      <c r="L774" s="61"/>
      <c r="M774" s="61"/>
      <c r="N774" s="61"/>
      <c r="O774" s="61"/>
      <c r="P774" s="61"/>
      <c r="Q774" s="61"/>
      <c r="R774" s="61"/>
      <c r="S774" s="61"/>
      <c r="T774" s="61"/>
      <c r="U774" s="61"/>
      <c r="V774" s="61"/>
      <c r="W774" s="61"/>
      <c r="X774" s="61"/>
      <c r="Y774" s="61"/>
      <c r="Z774" s="61"/>
    </row>
    <row r="775" spans="1:26" ht="13">
      <c r="A775" s="61"/>
      <c r="B775" s="61"/>
      <c r="C775" s="61"/>
      <c r="D775" s="61"/>
      <c r="E775" s="61"/>
      <c r="F775" s="61"/>
      <c r="G775" s="179"/>
      <c r="H775" s="61"/>
      <c r="I775" s="61"/>
      <c r="J775" s="61"/>
      <c r="K775" s="61"/>
      <c r="L775" s="61"/>
      <c r="M775" s="61"/>
      <c r="N775" s="61"/>
      <c r="O775" s="61"/>
      <c r="P775" s="61"/>
      <c r="Q775" s="61"/>
      <c r="R775" s="61"/>
      <c r="S775" s="61"/>
      <c r="T775" s="61"/>
      <c r="U775" s="61"/>
      <c r="V775" s="61"/>
      <c r="W775" s="61"/>
      <c r="X775" s="61"/>
      <c r="Y775" s="61"/>
      <c r="Z775" s="61"/>
    </row>
    <row r="776" spans="1:26" ht="13">
      <c r="A776" s="61"/>
      <c r="B776" s="61"/>
      <c r="C776" s="61"/>
      <c r="D776" s="61"/>
      <c r="E776" s="61"/>
      <c r="F776" s="61"/>
      <c r="G776" s="179"/>
      <c r="H776" s="61"/>
      <c r="I776" s="61"/>
      <c r="J776" s="61"/>
      <c r="K776" s="61"/>
      <c r="L776" s="61"/>
      <c r="M776" s="61"/>
      <c r="N776" s="61"/>
      <c r="O776" s="61"/>
      <c r="P776" s="61"/>
      <c r="Q776" s="61"/>
      <c r="R776" s="61"/>
      <c r="S776" s="61"/>
      <c r="T776" s="61"/>
      <c r="U776" s="61"/>
      <c r="V776" s="61"/>
      <c r="W776" s="61"/>
      <c r="X776" s="61"/>
      <c r="Y776" s="61"/>
      <c r="Z776" s="61"/>
    </row>
    <row r="777" spans="1:26" ht="13">
      <c r="A777" s="61"/>
      <c r="B777" s="61"/>
      <c r="C777" s="61"/>
      <c r="D777" s="61"/>
      <c r="E777" s="61"/>
      <c r="F777" s="61"/>
      <c r="G777" s="179"/>
      <c r="H777" s="61"/>
      <c r="I777" s="61"/>
      <c r="J777" s="61"/>
      <c r="K777" s="61"/>
      <c r="L777" s="61"/>
      <c r="M777" s="61"/>
      <c r="N777" s="61"/>
      <c r="O777" s="61"/>
      <c r="P777" s="61"/>
      <c r="Q777" s="61"/>
      <c r="R777" s="61"/>
      <c r="S777" s="61"/>
      <c r="T777" s="61"/>
      <c r="U777" s="61"/>
      <c r="V777" s="61"/>
      <c r="W777" s="61"/>
      <c r="X777" s="61"/>
      <c r="Y777" s="61"/>
      <c r="Z777" s="61"/>
    </row>
    <row r="778" spans="1:26" ht="13">
      <c r="A778" s="61"/>
      <c r="B778" s="61"/>
      <c r="C778" s="61"/>
      <c r="D778" s="61"/>
      <c r="E778" s="61"/>
      <c r="F778" s="61"/>
      <c r="G778" s="179"/>
      <c r="H778" s="61"/>
      <c r="I778" s="61"/>
      <c r="J778" s="61"/>
      <c r="K778" s="61"/>
      <c r="L778" s="61"/>
      <c r="M778" s="61"/>
      <c r="N778" s="61"/>
      <c r="O778" s="61"/>
      <c r="P778" s="61"/>
      <c r="Q778" s="61"/>
      <c r="R778" s="61"/>
      <c r="S778" s="61"/>
      <c r="T778" s="61"/>
      <c r="U778" s="61"/>
      <c r="V778" s="61"/>
      <c r="W778" s="61"/>
      <c r="X778" s="61"/>
      <c r="Y778" s="61"/>
      <c r="Z778" s="61"/>
    </row>
    <row r="779" spans="1:26" ht="13">
      <c r="A779" s="61"/>
      <c r="B779" s="61"/>
      <c r="C779" s="61"/>
      <c r="D779" s="61"/>
      <c r="E779" s="61"/>
      <c r="F779" s="61"/>
      <c r="G779" s="179"/>
      <c r="H779" s="61"/>
      <c r="I779" s="61"/>
      <c r="J779" s="61"/>
      <c r="K779" s="61"/>
      <c r="L779" s="61"/>
      <c r="M779" s="61"/>
      <c r="N779" s="61"/>
      <c r="O779" s="61"/>
      <c r="P779" s="61"/>
      <c r="Q779" s="61"/>
      <c r="R779" s="61"/>
      <c r="S779" s="61"/>
      <c r="T779" s="61"/>
      <c r="U779" s="61"/>
      <c r="V779" s="61"/>
      <c r="W779" s="61"/>
      <c r="X779" s="61"/>
      <c r="Y779" s="61"/>
      <c r="Z779" s="61"/>
    </row>
    <row r="780" spans="1:26" ht="13">
      <c r="A780" s="61"/>
      <c r="B780" s="61"/>
      <c r="C780" s="61"/>
      <c r="D780" s="61"/>
      <c r="E780" s="61"/>
      <c r="F780" s="61"/>
      <c r="G780" s="179"/>
      <c r="H780" s="61"/>
      <c r="I780" s="61"/>
      <c r="J780" s="61"/>
      <c r="K780" s="61"/>
      <c r="L780" s="61"/>
      <c r="M780" s="61"/>
      <c r="N780" s="61"/>
      <c r="O780" s="61"/>
      <c r="P780" s="61"/>
      <c r="Q780" s="61"/>
      <c r="R780" s="61"/>
      <c r="S780" s="61"/>
      <c r="T780" s="61"/>
      <c r="U780" s="61"/>
      <c r="V780" s="61"/>
      <c r="W780" s="61"/>
      <c r="X780" s="61"/>
      <c r="Y780" s="61"/>
      <c r="Z780" s="61"/>
    </row>
    <row r="781" spans="1:26" ht="13">
      <c r="A781" s="61"/>
      <c r="B781" s="61"/>
      <c r="C781" s="61"/>
      <c r="D781" s="61"/>
      <c r="E781" s="61"/>
      <c r="F781" s="61"/>
      <c r="G781" s="179"/>
      <c r="H781" s="61"/>
      <c r="I781" s="61"/>
      <c r="J781" s="61"/>
      <c r="K781" s="61"/>
      <c r="L781" s="61"/>
      <c r="M781" s="61"/>
      <c r="N781" s="61"/>
      <c r="O781" s="61"/>
      <c r="P781" s="61"/>
      <c r="Q781" s="61"/>
      <c r="R781" s="61"/>
      <c r="S781" s="61"/>
      <c r="T781" s="61"/>
      <c r="U781" s="61"/>
      <c r="V781" s="61"/>
      <c r="W781" s="61"/>
      <c r="X781" s="61"/>
      <c r="Y781" s="61"/>
      <c r="Z781" s="61"/>
    </row>
    <row r="782" spans="1:26" ht="13">
      <c r="A782" s="61"/>
      <c r="B782" s="61"/>
      <c r="C782" s="61"/>
      <c r="D782" s="61"/>
      <c r="E782" s="61"/>
      <c r="F782" s="61"/>
      <c r="G782" s="179"/>
      <c r="H782" s="61"/>
      <c r="I782" s="61"/>
      <c r="J782" s="61"/>
      <c r="K782" s="61"/>
      <c r="L782" s="61"/>
      <c r="M782" s="61"/>
      <c r="N782" s="61"/>
      <c r="O782" s="61"/>
      <c r="P782" s="61"/>
      <c r="Q782" s="61"/>
      <c r="R782" s="61"/>
      <c r="S782" s="61"/>
      <c r="T782" s="61"/>
      <c r="U782" s="61"/>
      <c r="V782" s="61"/>
      <c r="W782" s="61"/>
      <c r="X782" s="61"/>
      <c r="Y782" s="61"/>
      <c r="Z782" s="61"/>
    </row>
    <row r="783" spans="1:26" ht="13">
      <c r="A783" s="61"/>
      <c r="B783" s="61"/>
      <c r="C783" s="61"/>
      <c r="D783" s="61"/>
      <c r="E783" s="61"/>
      <c r="F783" s="61"/>
      <c r="G783" s="179"/>
      <c r="H783" s="61"/>
      <c r="I783" s="61"/>
      <c r="J783" s="61"/>
      <c r="K783" s="61"/>
      <c r="L783" s="61"/>
      <c r="M783" s="61"/>
      <c r="N783" s="61"/>
      <c r="O783" s="61"/>
      <c r="P783" s="61"/>
      <c r="Q783" s="61"/>
      <c r="R783" s="61"/>
      <c r="S783" s="61"/>
      <c r="T783" s="61"/>
      <c r="U783" s="61"/>
      <c r="V783" s="61"/>
      <c r="W783" s="61"/>
      <c r="X783" s="61"/>
      <c r="Y783" s="61"/>
      <c r="Z783" s="61"/>
    </row>
    <row r="784" spans="1:26" ht="13">
      <c r="A784" s="61"/>
      <c r="B784" s="61"/>
      <c r="C784" s="61"/>
      <c r="D784" s="61"/>
      <c r="E784" s="61"/>
      <c r="F784" s="61"/>
      <c r="G784" s="179"/>
      <c r="H784" s="61"/>
      <c r="I784" s="61"/>
      <c r="J784" s="61"/>
      <c r="K784" s="61"/>
      <c r="L784" s="61"/>
      <c r="M784" s="61"/>
      <c r="N784" s="61"/>
      <c r="O784" s="61"/>
      <c r="P784" s="61"/>
      <c r="Q784" s="61"/>
      <c r="R784" s="61"/>
      <c r="S784" s="61"/>
      <c r="T784" s="61"/>
      <c r="U784" s="61"/>
      <c r="V784" s="61"/>
      <c r="W784" s="61"/>
      <c r="X784" s="61"/>
      <c r="Y784" s="61"/>
      <c r="Z784" s="61"/>
    </row>
    <row r="785" spans="1:26" ht="13">
      <c r="A785" s="61"/>
      <c r="B785" s="61"/>
      <c r="C785" s="61"/>
      <c r="D785" s="61"/>
      <c r="E785" s="61"/>
      <c r="F785" s="61"/>
      <c r="G785" s="179"/>
      <c r="H785" s="61"/>
      <c r="I785" s="61"/>
      <c r="J785" s="61"/>
      <c r="K785" s="61"/>
      <c r="L785" s="61"/>
      <c r="M785" s="61"/>
      <c r="N785" s="61"/>
      <c r="O785" s="61"/>
      <c r="P785" s="61"/>
      <c r="Q785" s="61"/>
      <c r="R785" s="61"/>
      <c r="S785" s="61"/>
      <c r="T785" s="61"/>
      <c r="U785" s="61"/>
      <c r="V785" s="61"/>
      <c r="W785" s="61"/>
      <c r="X785" s="61"/>
      <c r="Y785" s="61"/>
      <c r="Z785" s="61"/>
    </row>
    <row r="786" spans="1:26" ht="13">
      <c r="A786" s="61"/>
      <c r="B786" s="61"/>
      <c r="C786" s="61"/>
      <c r="D786" s="61"/>
      <c r="E786" s="61"/>
      <c r="F786" s="61"/>
      <c r="G786" s="179"/>
      <c r="H786" s="61"/>
      <c r="I786" s="61"/>
      <c r="J786" s="61"/>
      <c r="K786" s="61"/>
      <c r="L786" s="61"/>
      <c r="M786" s="61"/>
      <c r="N786" s="61"/>
      <c r="O786" s="61"/>
      <c r="P786" s="61"/>
      <c r="Q786" s="61"/>
      <c r="R786" s="61"/>
      <c r="S786" s="61"/>
      <c r="T786" s="61"/>
      <c r="U786" s="61"/>
      <c r="V786" s="61"/>
      <c r="W786" s="61"/>
      <c r="X786" s="61"/>
      <c r="Y786" s="61"/>
      <c r="Z786" s="61"/>
    </row>
    <row r="787" spans="1:26" ht="13">
      <c r="A787" s="61"/>
      <c r="B787" s="61"/>
      <c r="C787" s="61"/>
      <c r="D787" s="61"/>
      <c r="E787" s="61"/>
      <c r="F787" s="61"/>
      <c r="G787" s="179"/>
      <c r="H787" s="61"/>
      <c r="I787" s="61"/>
      <c r="J787" s="61"/>
      <c r="K787" s="61"/>
      <c r="L787" s="61"/>
      <c r="M787" s="61"/>
      <c r="N787" s="61"/>
      <c r="O787" s="61"/>
      <c r="P787" s="61"/>
      <c r="Q787" s="61"/>
      <c r="R787" s="61"/>
      <c r="S787" s="61"/>
      <c r="T787" s="61"/>
      <c r="U787" s="61"/>
      <c r="V787" s="61"/>
      <c r="W787" s="61"/>
      <c r="X787" s="61"/>
      <c r="Y787" s="61"/>
      <c r="Z787" s="61"/>
    </row>
    <row r="788" spans="1:26" ht="13">
      <c r="A788" s="61"/>
      <c r="B788" s="61"/>
      <c r="C788" s="61"/>
      <c r="D788" s="61"/>
      <c r="E788" s="61"/>
      <c r="F788" s="61"/>
      <c r="G788" s="179"/>
      <c r="H788" s="61"/>
      <c r="I788" s="61"/>
      <c r="J788" s="61"/>
      <c r="K788" s="61"/>
      <c r="L788" s="61"/>
      <c r="M788" s="61"/>
      <c r="N788" s="61"/>
      <c r="O788" s="61"/>
      <c r="P788" s="61"/>
      <c r="Q788" s="61"/>
      <c r="R788" s="61"/>
      <c r="S788" s="61"/>
      <c r="T788" s="61"/>
      <c r="U788" s="61"/>
      <c r="V788" s="61"/>
      <c r="W788" s="61"/>
      <c r="X788" s="61"/>
      <c r="Y788" s="61"/>
      <c r="Z788" s="61"/>
    </row>
    <row r="789" spans="1:26" ht="13">
      <c r="A789" s="61"/>
      <c r="B789" s="61"/>
      <c r="C789" s="61"/>
      <c r="D789" s="61"/>
      <c r="E789" s="61"/>
      <c r="F789" s="61"/>
      <c r="G789" s="179"/>
      <c r="H789" s="61"/>
      <c r="I789" s="61"/>
      <c r="J789" s="61"/>
      <c r="K789" s="61"/>
      <c r="L789" s="61"/>
      <c r="M789" s="61"/>
      <c r="N789" s="61"/>
      <c r="O789" s="61"/>
      <c r="P789" s="61"/>
      <c r="Q789" s="61"/>
      <c r="R789" s="61"/>
      <c r="S789" s="61"/>
      <c r="T789" s="61"/>
      <c r="U789" s="61"/>
      <c r="V789" s="61"/>
      <c r="W789" s="61"/>
      <c r="X789" s="61"/>
      <c r="Y789" s="61"/>
      <c r="Z789" s="61"/>
    </row>
    <row r="790" spans="1:26" ht="13">
      <c r="A790" s="61"/>
      <c r="B790" s="61"/>
      <c r="C790" s="61"/>
      <c r="D790" s="61"/>
      <c r="E790" s="61"/>
      <c r="F790" s="61"/>
      <c r="G790" s="179"/>
      <c r="H790" s="61"/>
      <c r="I790" s="61"/>
      <c r="J790" s="61"/>
      <c r="K790" s="61"/>
      <c r="L790" s="61"/>
      <c r="M790" s="61"/>
      <c r="N790" s="61"/>
      <c r="O790" s="61"/>
      <c r="P790" s="61"/>
      <c r="Q790" s="61"/>
      <c r="R790" s="61"/>
      <c r="S790" s="61"/>
      <c r="T790" s="61"/>
      <c r="U790" s="61"/>
      <c r="V790" s="61"/>
      <c r="W790" s="61"/>
      <c r="X790" s="61"/>
      <c r="Y790" s="61"/>
      <c r="Z790" s="61"/>
    </row>
    <row r="791" spans="1:26" ht="13">
      <c r="A791" s="61"/>
      <c r="B791" s="61"/>
      <c r="C791" s="61"/>
      <c r="D791" s="61"/>
      <c r="E791" s="61"/>
      <c r="F791" s="61"/>
      <c r="G791" s="179"/>
      <c r="H791" s="61"/>
      <c r="I791" s="61"/>
      <c r="J791" s="61"/>
      <c r="K791" s="61"/>
      <c r="L791" s="61"/>
      <c r="M791" s="61"/>
      <c r="N791" s="61"/>
      <c r="O791" s="61"/>
      <c r="P791" s="61"/>
      <c r="Q791" s="61"/>
      <c r="R791" s="61"/>
      <c r="S791" s="61"/>
      <c r="T791" s="61"/>
      <c r="U791" s="61"/>
      <c r="V791" s="61"/>
      <c r="W791" s="61"/>
      <c r="X791" s="61"/>
      <c r="Y791" s="61"/>
      <c r="Z791" s="61"/>
    </row>
    <row r="792" spans="1:26" ht="13">
      <c r="A792" s="61"/>
      <c r="B792" s="61"/>
      <c r="C792" s="61"/>
      <c r="D792" s="61"/>
      <c r="E792" s="61"/>
      <c r="F792" s="61"/>
      <c r="G792" s="179"/>
      <c r="H792" s="61"/>
      <c r="I792" s="61"/>
      <c r="J792" s="61"/>
      <c r="K792" s="61"/>
      <c r="L792" s="61"/>
      <c r="M792" s="61"/>
      <c r="N792" s="61"/>
      <c r="O792" s="61"/>
      <c r="P792" s="61"/>
      <c r="Q792" s="61"/>
      <c r="R792" s="61"/>
      <c r="S792" s="61"/>
      <c r="T792" s="61"/>
      <c r="U792" s="61"/>
      <c r="V792" s="61"/>
      <c r="W792" s="61"/>
      <c r="X792" s="61"/>
      <c r="Y792" s="61"/>
      <c r="Z792" s="61"/>
    </row>
    <row r="793" spans="1:26" ht="13">
      <c r="A793" s="61"/>
      <c r="B793" s="61"/>
      <c r="C793" s="61"/>
      <c r="D793" s="61"/>
      <c r="E793" s="61"/>
      <c r="F793" s="61"/>
      <c r="G793" s="179"/>
      <c r="H793" s="61"/>
      <c r="I793" s="61"/>
      <c r="J793" s="61"/>
      <c r="K793" s="61"/>
      <c r="L793" s="61"/>
      <c r="M793" s="61"/>
      <c r="N793" s="61"/>
      <c r="O793" s="61"/>
      <c r="P793" s="61"/>
      <c r="Q793" s="61"/>
      <c r="R793" s="61"/>
      <c r="S793" s="61"/>
      <c r="T793" s="61"/>
      <c r="U793" s="61"/>
      <c r="V793" s="61"/>
      <c r="W793" s="61"/>
      <c r="X793" s="61"/>
      <c r="Y793" s="61"/>
      <c r="Z793" s="61"/>
    </row>
    <row r="794" spans="1:26" ht="13">
      <c r="A794" s="61"/>
      <c r="B794" s="61"/>
      <c r="C794" s="61"/>
      <c r="D794" s="61"/>
      <c r="E794" s="61"/>
      <c r="F794" s="61"/>
      <c r="G794" s="179"/>
      <c r="H794" s="61"/>
      <c r="I794" s="61"/>
      <c r="J794" s="61"/>
      <c r="K794" s="61"/>
      <c r="L794" s="61"/>
      <c r="M794" s="61"/>
      <c r="N794" s="61"/>
      <c r="O794" s="61"/>
      <c r="P794" s="61"/>
      <c r="Q794" s="61"/>
      <c r="R794" s="61"/>
      <c r="S794" s="61"/>
      <c r="T794" s="61"/>
      <c r="U794" s="61"/>
      <c r="V794" s="61"/>
      <c r="W794" s="61"/>
      <c r="X794" s="61"/>
      <c r="Y794" s="61"/>
      <c r="Z794" s="61"/>
    </row>
    <row r="795" spans="1:26" ht="13">
      <c r="A795" s="61"/>
      <c r="B795" s="61"/>
      <c r="C795" s="61"/>
      <c r="D795" s="61"/>
      <c r="E795" s="61"/>
      <c r="F795" s="61"/>
      <c r="G795" s="179"/>
      <c r="H795" s="61"/>
      <c r="I795" s="61"/>
      <c r="J795" s="61"/>
      <c r="K795" s="61"/>
      <c r="L795" s="61"/>
      <c r="M795" s="61"/>
      <c r="N795" s="61"/>
      <c r="O795" s="61"/>
      <c r="P795" s="61"/>
      <c r="Q795" s="61"/>
      <c r="R795" s="61"/>
      <c r="S795" s="61"/>
      <c r="T795" s="61"/>
      <c r="U795" s="61"/>
      <c r="V795" s="61"/>
      <c r="W795" s="61"/>
      <c r="X795" s="61"/>
      <c r="Y795" s="61"/>
      <c r="Z795" s="61"/>
    </row>
    <row r="796" spans="1:26" ht="13">
      <c r="A796" s="61"/>
      <c r="B796" s="61"/>
      <c r="C796" s="61"/>
      <c r="D796" s="61"/>
      <c r="E796" s="61"/>
      <c r="F796" s="61"/>
      <c r="G796" s="179"/>
      <c r="H796" s="61"/>
      <c r="I796" s="61"/>
      <c r="J796" s="61"/>
      <c r="K796" s="61"/>
      <c r="L796" s="61"/>
      <c r="M796" s="61"/>
      <c r="N796" s="61"/>
      <c r="O796" s="61"/>
      <c r="P796" s="61"/>
      <c r="Q796" s="61"/>
      <c r="R796" s="61"/>
      <c r="S796" s="61"/>
      <c r="T796" s="61"/>
      <c r="U796" s="61"/>
      <c r="V796" s="61"/>
      <c r="W796" s="61"/>
      <c r="X796" s="61"/>
      <c r="Y796" s="61"/>
      <c r="Z796" s="61"/>
    </row>
    <row r="797" spans="1:26" ht="13">
      <c r="A797" s="61"/>
      <c r="B797" s="61"/>
      <c r="C797" s="61"/>
      <c r="D797" s="61"/>
      <c r="E797" s="61"/>
      <c r="F797" s="61"/>
      <c r="G797" s="179"/>
      <c r="H797" s="61"/>
      <c r="I797" s="61"/>
      <c r="J797" s="61"/>
      <c r="K797" s="61"/>
      <c r="L797" s="61"/>
      <c r="M797" s="61"/>
      <c r="N797" s="61"/>
      <c r="O797" s="61"/>
      <c r="P797" s="61"/>
      <c r="Q797" s="61"/>
      <c r="R797" s="61"/>
      <c r="S797" s="61"/>
      <c r="T797" s="61"/>
      <c r="U797" s="61"/>
      <c r="V797" s="61"/>
      <c r="W797" s="61"/>
      <c r="X797" s="61"/>
      <c r="Y797" s="61"/>
      <c r="Z797" s="61"/>
    </row>
    <row r="798" spans="1:26" ht="13">
      <c r="A798" s="61"/>
      <c r="B798" s="61"/>
      <c r="C798" s="61"/>
      <c r="D798" s="61"/>
      <c r="E798" s="61"/>
      <c r="F798" s="61"/>
      <c r="G798" s="179"/>
      <c r="H798" s="61"/>
      <c r="I798" s="61"/>
      <c r="J798" s="61"/>
      <c r="K798" s="61"/>
      <c r="L798" s="61"/>
      <c r="M798" s="61"/>
      <c r="N798" s="61"/>
      <c r="O798" s="61"/>
      <c r="P798" s="61"/>
      <c r="Q798" s="61"/>
      <c r="R798" s="61"/>
      <c r="S798" s="61"/>
      <c r="T798" s="61"/>
      <c r="U798" s="61"/>
      <c r="V798" s="61"/>
      <c r="W798" s="61"/>
      <c r="X798" s="61"/>
      <c r="Y798" s="61"/>
      <c r="Z798" s="61"/>
    </row>
    <row r="799" spans="1:26" ht="13">
      <c r="A799" s="61"/>
      <c r="B799" s="61"/>
      <c r="C799" s="61"/>
      <c r="D799" s="61"/>
      <c r="E799" s="61"/>
      <c r="F799" s="61"/>
      <c r="G799" s="179"/>
      <c r="H799" s="61"/>
      <c r="I799" s="61"/>
      <c r="J799" s="61"/>
      <c r="K799" s="61"/>
      <c r="L799" s="61"/>
      <c r="M799" s="61"/>
      <c r="N799" s="61"/>
      <c r="O799" s="61"/>
      <c r="P799" s="61"/>
      <c r="Q799" s="61"/>
      <c r="R799" s="61"/>
      <c r="S799" s="61"/>
      <c r="T799" s="61"/>
      <c r="U799" s="61"/>
      <c r="V799" s="61"/>
      <c r="W799" s="61"/>
      <c r="X799" s="61"/>
      <c r="Y799" s="61"/>
      <c r="Z799" s="61"/>
    </row>
    <row r="800" spans="1:26" ht="13">
      <c r="A800" s="61"/>
      <c r="B800" s="61"/>
      <c r="C800" s="61"/>
      <c r="D800" s="61"/>
      <c r="E800" s="61"/>
      <c r="F800" s="61"/>
      <c r="G800" s="179"/>
      <c r="H800" s="61"/>
      <c r="I800" s="61"/>
      <c r="J800" s="61"/>
      <c r="K800" s="61"/>
      <c r="L800" s="61"/>
      <c r="M800" s="61"/>
      <c r="N800" s="61"/>
      <c r="O800" s="61"/>
      <c r="P800" s="61"/>
      <c r="Q800" s="61"/>
      <c r="R800" s="61"/>
      <c r="S800" s="61"/>
      <c r="T800" s="61"/>
      <c r="U800" s="61"/>
      <c r="V800" s="61"/>
      <c r="W800" s="61"/>
      <c r="X800" s="61"/>
      <c r="Y800" s="61"/>
      <c r="Z800" s="61"/>
    </row>
    <row r="801" spans="1:26" ht="13">
      <c r="A801" s="61"/>
      <c r="B801" s="61"/>
      <c r="C801" s="61"/>
      <c r="D801" s="61"/>
      <c r="E801" s="61"/>
      <c r="F801" s="61"/>
      <c r="G801" s="179"/>
      <c r="H801" s="61"/>
      <c r="I801" s="61"/>
      <c r="J801" s="61"/>
      <c r="K801" s="61"/>
      <c r="L801" s="61"/>
      <c r="M801" s="61"/>
      <c r="N801" s="61"/>
      <c r="O801" s="61"/>
      <c r="P801" s="61"/>
      <c r="Q801" s="61"/>
      <c r="R801" s="61"/>
      <c r="S801" s="61"/>
      <c r="T801" s="61"/>
      <c r="U801" s="61"/>
      <c r="V801" s="61"/>
      <c r="W801" s="61"/>
      <c r="X801" s="61"/>
      <c r="Y801" s="61"/>
      <c r="Z801" s="61"/>
    </row>
    <row r="802" spans="1:26" ht="13">
      <c r="A802" s="61"/>
      <c r="B802" s="61"/>
      <c r="C802" s="61"/>
      <c r="D802" s="61"/>
      <c r="E802" s="61"/>
      <c r="F802" s="61"/>
      <c r="G802" s="179"/>
      <c r="H802" s="61"/>
      <c r="I802" s="61"/>
      <c r="J802" s="61"/>
      <c r="K802" s="61"/>
      <c r="L802" s="61"/>
      <c r="M802" s="61"/>
      <c r="N802" s="61"/>
      <c r="O802" s="61"/>
      <c r="P802" s="61"/>
      <c r="Q802" s="61"/>
      <c r="R802" s="61"/>
      <c r="S802" s="61"/>
      <c r="T802" s="61"/>
      <c r="U802" s="61"/>
      <c r="V802" s="61"/>
      <c r="W802" s="61"/>
      <c r="X802" s="61"/>
      <c r="Y802" s="61"/>
      <c r="Z802" s="61"/>
    </row>
    <row r="803" spans="1:26" ht="13">
      <c r="A803" s="61"/>
      <c r="B803" s="61"/>
      <c r="C803" s="61"/>
      <c r="D803" s="61"/>
      <c r="E803" s="61"/>
      <c r="F803" s="61"/>
      <c r="G803" s="179"/>
      <c r="H803" s="61"/>
      <c r="I803" s="61"/>
      <c r="J803" s="61"/>
      <c r="K803" s="61"/>
      <c r="L803" s="61"/>
      <c r="M803" s="61"/>
      <c r="N803" s="61"/>
      <c r="O803" s="61"/>
      <c r="P803" s="61"/>
      <c r="Q803" s="61"/>
      <c r="R803" s="61"/>
      <c r="S803" s="61"/>
      <c r="T803" s="61"/>
      <c r="U803" s="61"/>
      <c r="V803" s="61"/>
      <c r="W803" s="61"/>
      <c r="X803" s="61"/>
      <c r="Y803" s="61"/>
      <c r="Z803" s="61"/>
    </row>
    <row r="804" spans="1:26" ht="13">
      <c r="A804" s="61"/>
      <c r="B804" s="61"/>
      <c r="C804" s="61"/>
      <c r="D804" s="61"/>
      <c r="E804" s="61"/>
      <c r="F804" s="61"/>
      <c r="G804" s="179"/>
      <c r="H804" s="61"/>
      <c r="I804" s="61"/>
      <c r="J804" s="61"/>
      <c r="K804" s="61"/>
      <c r="L804" s="61"/>
      <c r="M804" s="61"/>
      <c r="N804" s="61"/>
      <c r="O804" s="61"/>
      <c r="P804" s="61"/>
      <c r="Q804" s="61"/>
      <c r="R804" s="61"/>
      <c r="S804" s="61"/>
      <c r="T804" s="61"/>
      <c r="U804" s="61"/>
      <c r="V804" s="61"/>
      <c r="W804" s="61"/>
      <c r="X804" s="61"/>
      <c r="Y804" s="61"/>
      <c r="Z804" s="61"/>
    </row>
    <row r="805" spans="1:26" ht="13">
      <c r="A805" s="61"/>
      <c r="B805" s="61"/>
      <c r="C805" s="61"/>
      <c r="D805" s="61"/>
      <c r="E805" s="61"/>
      <c r="F805" s="61"/>
      <c r="G805" s="179"/>
      <c r="H805" s="61"/>
      <c r="I805" s="61"/>
      <c r="J805" s="61"/>
      <c r="K805" s="61"/>
      <c r="L805" s="61"/>
      <c r="M805" s="61"/>
      <c r="N805" s="61"/>
      <c r="O805" s="61"/>
      <c r="P805" s="61"/>
      <c r="Q805" s="61"/>
      <c r="R805" s="61"/>
      <c r="S805" s="61"/>
      <c r="T805" s="61"/>
      <c r="U805" s="61"/>
      <c r="V805" s="61"/>
      <c r="W805" s="61"/>
      <c r="X805" s="61"/>
      <c r="Y805" s="61"/>
      <c r="Z805" s="61"/>
    </row>
    <row r="806" spans="1:26" ht="13">
      <c r="A806" s="61"/>
      <c r="B806" s="61"/>
      <c r="C806" s="61"/>
      <c r="D806" s="61"/>
      <c r="E806" s="61"/>
      <c r="F806" s="61"/>
      <c r="G806" s="179"/>
      <c r="H806" s="61"/>
      <c r="I806" s="61"/>
      <c r="J806" s="61"/>
      <c r="K806" s="61"/>
      <c r="L806" s="61"/>
      <c r="M806" s="61"/>
      <c r="N806" s="61"/>
      <c r="O806" s="61"/>
      <c r="P806" s="61"/>
      <c r="Q806" s="61"/>
      <c r="R806" s="61"/>
      <c r="S806" s="61"/>
      <c r="T806" s="61"/>
      <c r="U806" s="61"/>
      <c r="V806" s="61"/>
      <c r="W806" s="61"/>
      <c r="X806" s="61"/>
      <c r="Y806" s="61"/>
      <c r="Z806" s="61"/>
    </row>
    <row r="807" spans="1:26" ht="13">
      <c r="A807" s="61"/>
      <c r="B807" s="61"/>
      <c r="C807" s="61"/>
      <c r="D807" s="61"/>
      <c r="E807" s="61"/>
      <c r="F807" s="61"/>
      <c r="G807" s="179"/>
      <c r="H807" s="61"/>
      <c r="I807" s="61"/>
      <c r="J807" s="61"/>
      <c r="K807" s="61"/>
      <c r="L807" s="61"/>
      <c r="M807" s="61"/>
      <c r="N807" s="61"/>
      <c r="O807" s="61"/>
      <c r="P807" s="61"/>
      <c r="Q807" s="61"/>
      <c r="R807" s="61"/>
      <c r="S807" s="61"/>
      <c r="T807" s="61"/>
      <c r="U807" s="61"/>
      <c r="V807" s="61"/>
      <c r="W807" s="61"/>
      <c r="X807" s="61"/>
      <c r="Y807" s="61"/>
      <c r="Z807" s="61"/>
    </row>
    <row r="808" spans="1:26" ht="13">
      <c r="A808" s="61"/>
      <c r="B808" s="61"/>
      <c r="C808" s="61"/>
      <c r="D808" s="61"/>
      <c r="E808" s="61"/>
      <c r="F808" s="61"/>
      <c r="G808" s="179"/>
      <c r="H808" s="61"/>
      <c r="I808" s="61"/>
      <c r="J808" s="61"/>
      <c r="K808" s="61"/>
      <c r="L808" s="61"/>
      <c r="M808" s="61"/>
      <c r="N808" s="61"/>
      <c r="O808" s="61"/>
      <c r="P808" s="61"/>
      <c r="Q808" s="61"/>
      <c r="R808" s="61"/>
      <c r="S808" s="61"/>
      <c r="T808" s="61"/>
      <c r="U808" s="61"/>
      <c r="V808" s="61"/>
      <c r="W808" s="61"/>
      <c r="X808" s="61"/>
      <c r="Y808" s="61"/>
      <c r="Z808" s="61"/>
    </row>
    <row r="809" spans="1:26" ht="13">
      <c r="A809" s="61"/>
      <c r="B809" s="61"/>
      <c r="C809" s="61"/>
      <c r="D809" s="61"/>
      <c r="E809" s="61"/>
      <c r="F809" s="61"/>
      <c r="G809" s="179"/>
      <c r="H809" s="61"/>
      <c r="I809" s="61"/>
      <c r="J809" s="61"/>
      <c r="K809" s="61"/>
      <c r="L809" s="61"/>
      <c r="M809" s="61"/>
      <c r="N809" s="61"/>
      <c r="O809" s="61"/>
      <c r="P809" s="61"/>
      <c r="Q809" s="61"/>
      <c r="R809" s="61"/>
      <c r="S809" s="61"/>
      <c r="T809" s="61"/>
      <c r="U809" s="61"/>
      <c r="V809" s="61"/>
      <c r="W809" s="61"/>
      <c r="X809" s="61"/>
      <c r="Y809" s="61"/>
      <c r="Z809" s="61"/>
    </row>
    <row r="810" spans="1:26" ht="13">
      <c r="A810" s="61"/>
      <c r="B810" s="61"/>
      <c r="C810" s="61"/>
      <c r="D810" s="61"/>
      <c r="E810" s="61"/>
      <c r="F810" s="61"/>
      <c r="G810" s="179"/>
      <c r="H810" s="61"/>
      <c r="I810" s="61"/>
      <c r="J810" s="61"/>
      <c r="K810" s="61"/>
      <c r="L810" s="61"/>
      <c r="M810" s="61"/>
      <c r="N810" s="61"/>
      <c r="O810" s="61"/>
      <c r="P810" s="61"/>
      <c r="Q810" s="61"/>
      <c r="R810" s="61"/>
      <c r="S810" s="61"/>
      <c r="T810" s="61"/>
      <c r="U810" s="61"/>
      <c r="V810" s="61"/>
      <c r="W810" s="61"/>
      <c r="X810" s="61"/>
      <c r="Y810" s="61"/>
      <c r="Z810" s="61"/>
    </row>
    <row r="811" spans="1:26" ht="13">
      <c r="A811" s="61"/>
      <c r="B811" s="61"/>
      <c r="C811" s="61"/>
      <c r="D811" s="61"/>
      <c r="E811" s="61"/>
      <c r="F811" s="61"/>
      <c r="G811" s="179"/>
      <c r="H811" s="61"/>
      <c r="I811" s="61"/>
      <c r="J811" s="61"/>
      <c r="K811" s="61"/>
      <c r="L811" s="61"/>
      <c r="M811" s="61"/>
      <c r="N811" s="61"/>
      <c r="O811" s="61"/>
      <c r="P811" s="61"/>
      <c r="Q811" s="61"/>
      <c r="R811" s="61"/>
      <c r="S811" s="61"/>
      <c r="T811" s="61"/>
      <c r="U811" s="61"/>
      <c r="V811" s="61"/>
      <c r="W811" s="61"/>
      <c r="X811" s="61"/>
      <c r="Y811" s="61"/>
      <c r="Z811" s="61"/>
    </row>
    <row r="812" spans="1:26" ht="13">
      <c r="A812" s="61"/>
      <c r="B812" s="61"/>
      <c r="C812" s="61"/>
      <c r="D812" s="61"/>
      <c r="E812" s="61"/>
      <c r="F812" s="61"/>
      <c r="G812" s="179"/>
      <c r="H812" s="61"/>
      <c r="I812" s="61"/>
      <c r="J812" s="61"/>
      <c r="K812" s="61"/>
      <c r="L812" s="61"/>
      <c r="M812" s="61"/>
      <c r="N812" s="61"/>
      <c r="O812" s="61"/>
      <c r="P812" s="61"/>
      <c r="Q812" s="61"/>
      <c r="R812" s="61"/>
      <c r="S812" s="61"/>
      <c r="T812" s="61"/>
      <c r="U812" s="61"/>
      <c r="V812" s="61"/>
      <c r="W812" s="61"/>
      <c r="X812" s="61"/>
      <c r="Y812" s="61"/>
      <c r="Z812" s="61"/>
    </row>
    <row r="813" spans="1:26" ht="13">
      <c r="A813" s="61"/>
      <c r="B813" s="61"/>
      <c r="C813" s="61"/>
      <c r="D813" s="61"/>
      <c r="E813" s="61"/>
      <c r="F813" s="61"/>
      <c r="G813" s="179"/>
      <c r="H813" s="61"/>
      <c r="I813" s="61"/>
      <c r="J813" s="61"/>
      <c r="K813" s="61"/>
      <c r="L813" s="61"/>
      <c r="M813" s="61"/>
      <c r="N813" s="61"/>
      <c r="O813" s="61"/>
      <c r="P813" s="61"/>
      <c r="Q813" s="61"/>
      <c r="R813" s="61"/>
      <c r="S813" s="61"/>
      <c r="T813" s="61"/>
      <c r="U813" s="61"/>
      <c r="V813" s="61"/>
      <c r="W813" s="61"/>
      <c r="X813" s="61"/>
      <c r="Y813" s="61"/>
      <c r="Z813" s="61"/>
    </row>
    <row r="814" spans="1:26" ht="13">
      <c r="A814" s="61"/>
      <c r="B814" s="61"/>
      <c r="C814" s="61"/>
      <c r="D814" s="61"/>
      <c r="E814" s="61"/>
      <c r="F814" s="61"/>
      <c r="G814" s="179"/>
      <c r="H814" s="61"/>
      <c r="I814" s="61"/>
      <c r="J814" s="61"/>
      <c r="K814" s="61"/>
      <c r="L814" s="61"/>
      <c r="M814" s="61"/>
      <c r="N814" s="61"/>
      <c r="O814" s="61"/>
      <c r="P814" s="61"/>
      <c r="Q814" s="61"/>
      <c r="R814" s="61"/>
      <c r="S814" s="61"/>
      <c r="T814" s="61"/>
      <c r="U814" s="61"/>
      <c r="V814" s="61"/>
      <c r="W814" s="61"/>
      <c r="X814" s="61"/>
      <c r="Y814" s="61"/>
      <c r="Z814" s="61"/>
    </row>
    <row r="815" spans="1:26" ht="13">
      <c r="A815" s="61"/>
      <c r="B815" s="61"/>
      <c r="C815" s="61"/>
      <c r="D815" s="61"/>
      <c r="E815" s="61"/>
      <c r="F815" s="61"/>
      <c r="G815" s="179"/>
      <c r="H815" s="61"/>
      <c r="I815" s="61"/>
      <c r="J815" s="61"/>
      <c r="K815" s="61"/>
      <c r="L815" s="61"/>
      <c r="M815" s="61"/>
      <c r="N815" s="61"/>
      <c r="O815" s="61"/>
      <c r="P815" s="61"/>
      <c r="Q815" s="61"/>
      <c r="R815" s="61"/>
      <c r="S815" s="61"/>
      <c r="T815" s="61"/>
      <c r="U815" s="61"/>
      <c r="V815" s="61"/>
      <c r="W815" s="61"/>
      <c r="X815" s="61"/>
      <c r="Y815" s="61"/>
      <c r="Z815" s="61"/>
    </row>
    <row r="816" spans="1:26" ht="13">
      <c r="A816" s="61"/>
      <c r="B816" s="61"/>
      <c r="C816" s="61"/>
      <c r="D816" s="61"/>
      <c r="E816" s="61"/>
      <c r="F816" s="61"/>
      <c r="G816" s="179"/>
      <c r="H816" s="61"/>
      <c r="I816" s="61"/>
      <c r="J816" s="61"/>
      <c r="K816" s="61"/>
      <c r="L816" s="61"/>
      <c r="M816" s="61"/>
      <c r="N816" s="61"/>
      <c r="O816" s="61"/>
      <c r="P816" s="61"/>
      <c r="Q816" s="61"/>
      <c r="R816" s="61"/>
      <c r="S816" s="61"/>
      <c r="T816" s="61"/>
      <c r="U816" s="61"/>
      <c r="V816" s="61"/>
      <c r="W816" s="61"/>
      <c r="X816" s="61"/>
      <c r="Y816" s="61"/>
      <c r="Z816" s="61"/>
    </row>
    <row r="817" spans="1:26" ht="13">
      <c r="A817" s="61"/>
      <c r="B817" s="61"/>
      <c r="C817" s="61"/>
      <c r="D817" s="61"/>
      <c r="E817" s="61"/>
      <c r="F817" s="61"/>
      <c r="G817" s="179"/>
      <c r="H817" s="61"/>
      <c r="I817" s="61"/>
      <c r="J817" s="61"/>
      <c r="K817" s="61"/>
      <c r="L817" s="61"/>
      <c r="M817" s="61"/>
      <c r="N817" s="61"/>
      <c r="O817" s="61"/>
      <c r="P817" s="61"/>
      <c r="Q817" s="61"/>
      <c r="R817" s="61"/>
      <c r="S817" s="61"/>
      <c r="T817" s="61"/>
      <c r="U817" s="61"/>
      <c r="V817" s="61"/>
      <c r="W817" s="61"/>
      <c r="X817" s="61"/>
      <c r="Y817" s="61"/>
      <c r="Z817" s="61"/>
    </row>
    <row r="818" spans="1:26" ht="13">
      <c r="A818" s="61"/>
      <c r="B818" s="61"/>
      <c r="C818" s="61"/>
      <c r="D818" s="61"/>
      <c r="E818" s="61"/>
      <c r="F818" s="61"/>
      <c r="G818" s="179"/>
      <c r="H818" s="61"/>
      <c r="I818" s="61"/>
      <c r="J818" s="61"/>
      <c r="K818" s="61"/>
      <c r="L818" s="61"/>
      <c r="M818" s="61"/>
      <c r="N818" s="61"/>
      <c r="O818" s="61"/>
      <c r="P818" s="61"/>
      <c r="Q818" s="61"/>
      <c r="R818" s="61"/>
      <c r="S818" s="61"/>
      <c r="T818" s="61"/>
      <c r="U818" s="61"/>
      <c r="V818" s="61"/>
      <c r="W818" s="61"/>
      <c r="X818" s="61"/>
      <c r="Y818" s="61"/>
      <c r="Z818" s="61"/>
    </row>
    <row r="819" spans="1:26" ht="13">
      <c r="A819" s="61"/>
      <c r="B819" s="61"/>
      <c r="C819" s="61"/>
      <c r="D819" s="61"/>
      <c r="E819" s="61"/>
      <c r="F819" s="61"/>
      <c r="G819" s="179"/>
      <c r="H819" s="61"/>
      <c r="I819" s="61"/>
      <c r="J819" s="61"/>
      <c r="K819" s="61"/>
      <c r="L819" s="61"/>
      <c r="M819" s="61"/>
      <c r="N819" s="61"/>
      <c r="O819" s="61"/>
      <c r="P819" s="61"/>
      <c r="Q819" s="61"/>
      <c r="R819" s="61"/>
      <c r="S819" s="61"/>
      <c r="T819" s="61"/>
      <c r="U819" s="61"/>
      <c r="V819" s="61"/>
      <c r="W819" s="61"/>
      <c r="X819" s="61"/>
      <c r="Y819" s="61"/>
      <c r="Z819" s="61"/>
    </row>
    <row r="820" spans="1:26" ht="13">
      <c r="A820" s="61"/>
      <c r="B820" s="61"/>
      <c r="C820" s="61"/>
      <c r="D820" s="61"/>
      <c r="E820" s="61"/>
      <c r="F820" s="61"/>
      <c r="G820" s="179"/>
      <c r="H820" s="61"/>
      <c r="I820" s="61"/>
      <c r="J820" s="61"/>
      <c r="K820" s="61"/>
      <c r="L820" s="61"/>
      <c r="M820" s="61"/>
      <c r="N820" s="61"/>
      <c r="O820" s="61"/>
      <c r="P820" s="61"/>
      <c r="Q820" s="61"/>
      <c r="R820" s="61"/>
      <c r="S820" s="61"/>
      <c r="T820" s="61"/>
      <c r="U820" s="61"/>
      <c r="V820" s="61"/>
      <c r="W820" s="61"/>
      <c r="X820" s="61"/>
      <c r="Y820" s="61"/>
      <c r="Z820" s="61"/>
    </row>
    <row r="821" spans="1:26" ht="13">
      <c r="A821" s="61"/>
      <c r="B821" s="61"/>
      <c r="C821" s="61"/>
      <c r="D821" s="61"/>
      <c r="E821" s="61"/>
      <c r="F821" s="61"/>
      <c r="G821" s="179"/>
      <c r="H821" s="61"/>
      <c r="I821" s="61"/>
      <c r="J821" s="61"/>
      <c r="K821" s="61"/>
      <c r="L821" s="61"/>
      <c r="M821" s="61"/>
      <c r="N821" s="61"/>
      <c r="O821" s="61"/>
      <c r="P821" s="61"/>
      <c r="Q821" s="61"/>
      <c r="R821" s="61"/>
      <c r="S821" s="61"/>
      <c r="T821" s="61"/>
      <c r="U821" s="61"/>
      <c r="V821" s="61"/>
      <c r="W821" s="61"/>
      <c r="X821" s="61"/>
      <c r="Y821" s="61"/>
      <c r="Z821" s="61"/>
    </row>
    <row r="822" spans="1:26" ht="13">
      <c r="A822" s="61"/>
      <c r="B822" s="61"/>
      <c r="C822" s="61"/>
      <c r="D822" s="61"/>
      <c r="E822" s="61"/>
      <c r="F822" s="61"/>
      <c r="G822" s="179"/>
      <c r="H822" s="61"/>
      <c r="I822" s="61"/>
      <c r="J822" s="61"/>
      <c r="K822" s="61"/>
      <c r="L822" s="61"/>
      <c r="M822" s="61"/>
      <c r="N822" s="61"/>
      <c r="O822" s="61"/>
      <c r="P822" s="61"/>
      <c r="Q822" s="61"/>
      <c r="R822" s="61"/>
      <c r="S822" s="61"/>
      <c r="T822" s="61"/>
      <c r="U822" s="61"/>
      <c r="V822" s="61"/>
      <c r="W822" s="61"/>
      <c r="X822" s="61"/>
      <c r="Y822" s="61"/>
      <c r="Z822" s="61"/>
    </row>
    <row r="823" spans="1:26" ht="13">
      <c r="A823" s="61"/>
      <c r="B823" s="61"/>
      <c r="C823" s="61"/>
      <c r="D823" s="61"/>
      <c r="E823" s="61"/>
      <c r="F823" s="61"/>
      <c r="G823" s="179"/>
      <c r="H823" s="61"/>
      <c r="I823" s="61"/>
      <c r="J823" s="61"/>
      <c r="K823" s="61"/>
      <c r="L823" s="61"/>
      <c r="M823" s="61"/>
      <c r="N823" s="61"/>
      <c r="O823" s="61"/>
      <c r="P823" s="61"/>
      <c r="Q823" s="61"/>
      <c r="R823" s="61"/>
      <c r="S823" s="61"/>
      <c r="T823" s="61"/>
      <c r="U823" s="61"/>
      <c r="V823" s="61"/>
      <c r="W823" s="61"/>
      <c r="X823" s="61"/>
      <c r="Y823" s="61"/>
      <c r="Z823" s="61"/>
    </row>
    <row r="824" spans="1:26" ht="13">
      <c r="A824" s="61"/>
      <c r="B824" s="61"/>
      <c r="C824" s="61"/>
      <c r="D824" s="61"/>
      <c r="E824" s="61"/>
      <c r="F824" s="61"/>
      <c r="G824" s="179"/>
      <c r="H824" s="61"/>
      <c r="I824" s="61"/>
      <c r="J824" s="61"/>
      <c r="K824" s="61"/>
      <c r="L824" s="61"/>
      <c r="M824" s="61"/>
      <c r="N824" s="61"/>
      <c r="O824" s="61"/>
      <c r="P824" s="61"/>
      <c r="Q824" s="61"/>
      <c r="R824" s="61"/>
      <c r="S824" s="61"/>
      <c r="T824" s="61"/>
      <c r="U824" s="61"/>
      <c r="V824" s="61"/>
      <c r="W824" s="61"/>
      <c r="X824" s="61"/>
      <c r="Y824" s="61"/>
      <c r="Z824" s="61"/>
    </row>
    <row r="825" spans="1:26" ht="13">
      <c r="A825" s="61"/>
      <c r="B825" s="61"/>
      <c r="C825" s="61"/>
      <c r="D825" s="61"/>
      <c r="E825" s="61"/>
      <c r="F825" s="61"/>
      <c r="G825" s="179"/>
      <c r="H825" s="61"/>
      <c r="I825" s="61"/>
      <c r="J825" s="61"/>
      <c r="K825" s="61"/>
      <c r="L825" s="61"/>
      <c r="M825" s="61"/>
      <c r="N825" s="61"/>
      <c r="O825" s="61"/>
      <c r="P825" s="61"/>
      <c r="Q825" s="61"/>
      <c r="R825" s="61"/>
      <c r="S825" s="61"/>
      <c r="T825" s="61"/>
      <c r="U825" s="61"/>
      <c r="V825" s="61"/>
      <c r="W825" s="61"/>
      <c r="X825" s="61"/>
      <c r="Y825" s="61"/>
      <c r="Z825" s="61"/>
    </row>
    <row r="826" spans="1:26" ht="13">
      <c r="A826" s="61"/>
      <c r="B826" s="61"/>
      <c r="C826" s="61"/>
      <c r="D826" s="61"/>
      <c r="E826" s="61"/>
      <c r="F826" s="61"/>
      <c r="G826" s="179"/>
      <c r="H826" s="61"/>
      <c r="I826" s="61"/>
      <c r="J826" s="61"/>
      <c r="K826" s="61"/>
      <c r="L826" s="61"/>
      <c r="M826" s="61"/>
      <c r="N826" s="61"/>
      <c r="O826" s="61"/>
      <c r="P826" s="61"/>
      <c r="Q826" s="61"/>
      <c r="R826" s="61"/>
      <c r="S826" s="61"/>
      <c r="T826" s="61"/>
      <c r="U826" s="61"/>
      <c r="V826" s="61"/>
      <c r="W826" s="61"/>
      <c r="X826" s="61"/>
      <c r="Y826" s="61"/>
      <c r="Z826" s="61"/>
    </row>
    <row r="827" spans="1:26" ht="13">
      <c r="A827" s="61"/>
      <c r="B827" s="61"/>
      <c r="C827" s="61"/>
      <c r="D827" s="61"/>
      <c r="E827" s="61"/>
      <c r="F827" s="61"/>
      <c r="G827" s="179"/>
      <c r="H827" s="61"/>
      <c r="I827" s="61"/>
      <c r="J827" s="61"/>
      <c r="K827" s="61"/>
      <c r="L827" s="61"/>
      <c r="M827" s="61"/>
      <c r="N827" s="61"/>
      <c r="O827" s="61"/>
      <c r="P827" s="61"/>
      <c r="Q827" s="61"/>
      <c r="R827" s="61"/>
      <c r="S827" s="61"/>
      <c r="T827" s="61"/>
      <c r="U827" s="61"/>
      <c r="V827" s="61"/>
      <c r="W827" s="61"/>
      <c r="X827" s="61"/>
      <c r="Y827" s="61"/>
      <c r="Z827" s="61"/>
    </row>
    <row r="828" spans="1:26" ht="13">
      <c r="A828" s="61"/>
      <c r="B828" s="61"/>
      <c r="C828" s="61"/>
      <c r="D828" s="61"/>
      <c r="E828" s="61"/>
      <c r="F828" s="61"/>
      <c r="G828" s="179"/>
      <c r="H828" s="61"/>
      <c r="I828" s="61"/>
      <c r="J828" s="61"/>
      <c r="K828" s="61"/>
      <c r="L828" s="61"/>
      <c r="M828" s="61"/>
      <c r="N828" s="61"/>
      <c r="O828" s="61"/>
      <c r="P828" s="61"/>
      <c r="Q828" s="61"/>
      <c r="R828" s="61"/>
      <c r="S828" s="61"/>
      <c r="T828" s="61"/>
      <c r="U828" s="61"/>
      <c r="V828" s="61"/>
      <c r="W828" s="61"/>
      <c r="X828" s="61"/>
      <c r="Y828" s="61"/>
      <c r="Z828" s="61"/>
    </row>
    <row r="829" spans="1:26" ht="13">
      <c r="A829" s="61"/>
      <c r="B829" s="61"/>
      <c r="C829" s="61"/>
      <c r="D829" s="61"/>
      <c r="E829" s="61"/>
      <c r="F829" s="61"/>
      <c r="G829" s="179"/>
      <c r="H829" s="61"/>
      <c r="I829" s="61"/>
      <c r="J829" s="61"/>
      <c r="K829" s="61"/>
      <c r="L829" s="61"/>
      <c r="M829" s="61"/>
      <c r="N829" s="61"/>
      <c r="O829" s="61"/>
      <c r="P829" s="61"/>
      <c r="Q829" s="61"/>
      <c r="R829" s="61"/>
      <c r="S829" s="61"/>
      <c r="T829" s="61"/>
      <c r="U829" s="61"/>
      <c r="V829" s="61"/>
      <c r="W829" s="61"/>
      <c r="X829" s="61"/>
      <c r="Y829" s="61"/>
      <c r="Z829" s="61"/>
    </row>
    <row r="830" spans="1:26" ht="13">
      <c r="A830" s="61"/>
      <c r="B830" s="61"/>
      <c r="C830" s="61"/>
      <c r="D830" s="61"/>
      <c r="E830" s="61"/>
      <c r="F830" s="61"/>
      <c r="G830" s="179"/>
      <c r="H830" s="61"/>
      <c r="I830" s="61"/>
      <c r="J830" s="61"/>
      <c r="K830" s="61"/>
      <c r="L830" s="61"/>
      <c r="M830" s="61"/>
      <c r="N830" s="61"/>
      <c r="O830" s="61"/>
      <c r="P830" s="61"/>
      <c r="Q830" s="61"/>
      <c r="R830" s="61"/>
      <c r="S830" s="61"/>
      <c r="T830" s="61"/>
      <c r="U830" s="61"/>
      <c r="V830" s="61"/>
      <c r="W830" s="61"/>
      <c r="X830" s="61"/>
      <c r="Y830" s="61"/>
      <c r="Z830" s="61"/>
    </row>
    <row r="831" spans="1:26" ht="13">
      <c r="A831" s="61"/>
      <c r="B831" s="61"/>
      <c r="C831" s="61"/>
      <c r="D831" s="61"/>
      <c r="E831" s="61"/>
      <c r="F831" s="61"/>
      <c r="G831" s="179"/>
      <c r="H831" s="61"/>
      <c r="I831" s="61"/>
      <c r="J831" s="61"/>
      <c r="K831" s="61"/>
      <c r="L831" s="61"/>
      <c r="M831" s="61"/>
      <c r="N831" s="61"/>
      <c r="O831" s="61"/>
      <c r="P831" s="61"/>
      <c r="Q831" s="61"/>
      <c r="R831" s="61"/>
      <c r="S831" s="61"/>
      <c r="T831" s="61"/>
      <c r="U831" s="61"/>
      <c r="V831" s="61"/>
      <c r="W831" s="61"/>
      <c r="X831" s="61"/>
      <c r="Y831" s="61"/>
      <c r="Z831" s="61"/>
    </row>
    <row r="832" spans="1:26" ht="13">
      <c r="A832" s="61"/>
      <c r="B832" s="61"/>
      <c r="C832" s="61"/>
      <c r="D832" s="61"/>
      <c r="E832" s="61"/>
      <c r="F832" s="61"/>
      <c r="G832" s="179"/>
      <c r="H832" s="61"/>
      <c r="I832" s="61"/>
      <c r="J832" s="61"/>
      <c r="K832" s="61"/>
      <c r="L832" s="61"/>
      <c r="M832" s="61"/>
      <c r="N832" s="61"/>
      <c r="O832" s="61"/>
      <c r="P832" s="61"/>
      <c r="Q832" s="61"/>
      <c r="R832" s="61"/>
      <c r="S832" s="61"/>
      <c r="T832" s="61"/>
      <c r="U832" s="61"/>
      <c r="V832" s="61"/>
      <c r="W832" s="61"/>
      <c r="X832" s="61"/>
      <c r="Y832" s="61"/>
      <c r="Z832" s="61"/>
    </row>
    <row r="833" spans="1:26" ht="13">
      <c r="A833" s="61"/>
      <c r="B833" s="61"/>
      <c r="C833" s="61"/>
      <c r="D833" s="61"/>
      <c r="E833" s="61"/>
      <c r="F833" s="61"/>
      <c r="G833" s="179"/>
      <c r="H833" s="61"/>
      <c r="I833" s="61"/>
      <c r="J833" s="61"/>
      <c r="K833" s="61"/>
      <c r="L833" s="61"/>
      <c r="M833" s="61"/>
      <c r="N833" s="61"/>
      <c r="O833" s="61"/>
      <c r="P833" s="61"/>
      <c r="Q833" s="61"/>
      <c r="R833" s="61"/>
      <c r="S833" s="61"/>
      <c r="T833" s="61"/>
      <c r="U833" s="61"/>
      <c r="V833" s="61"/>
      <c r="W833" s="61"/>
      <c r="X833" s="61"/>
      <c r="Y833" s="61"/>
      <c r="Z833" s="61"/>
    </row>
    <row r="834" spans="1:26" ht="13">
      <c r="A834" s="61"/>
      <c r="B834" s="61"/>
      <c r="C834" s="61"/>
      <c r="D834" s="61"/>
      <c r="E834" s="61"/>
      <c r="F834" s="61"/>
      <c r="G834" s="179"/>
      <c r="H834" s="61"/>
      <c r="I834" s="61"/>
      <c r="J834" s="61"/>
      <c r="K834" s="61"/>
      <c r="L834" s="61"/>
      <c r="M834" s="61"/>
      <c r="N834" s="61"/>
      <c r="O834" s="61"/>
      <c r="P834" s="61"/>
      <c r="Q834" s="61"/>
      <c r="R834" s="61"/>
      <c r="S834" s="61"/>
      <c r="T834" s="61"/>
      <c r="U834" s="61"/>
      <c r="V834" s="61"/>
      <c r="W834" s="61"/>
      <c r="X834" s="61"/>
      <c r="Y834" s="61"/>
      <c r="Z834" s="61"/>
    </row>
    <row r="835" spans="1:26" ht="13">
      <c r="A835" s="61"/>
      <c r="B835" s="61"/>
      <c r="C835" s="61"/>
      <c r="D835" s="61"/>
      <c r="E835" s="61"/>
      <c r="F835" s="61"/>
      <c r="G835" s="179"/>
      <c r="H835" s="61"/>
      <c r="I835" s="61"/>
      <c r="J835" s="61"/>
      <c r="K835" s="61"/>
      <c r="L835" s="61"/>
      <c r="M835" s="61"/>
      <c r="N835" s="61"/>
      <c r="O835" s="61"/>
      <c r="P835" s="61"/>
      <c r="Q835" s="61"/>
      <c r="R835" s="61"/>
      <c r="S835" s="61"/>
      <c r="T835" s="61"/>
      <c r="U835" s="61"/>
      <c r="V835" s="61"/>
      <c r="W835" s="61"/>
      <c r="X835" s="61"/>
      <c r="Y835" s="61"/>
      <c r="Z835" s="61"/>
    </row>
    <row r="836" spans="1:26" ht="13">
      <c r="A836" s="61"/>
      <c r="B836" s="61"/>
      <c r="C836" s="61"/>
      <c r="D836" s="61"/>
      <c r="E836" s="61"/>
      <c r="F836" s="61"/>
      <c r="G836" s="179"/>
      <c r="H836" s="61"/>
      <c r="I836" s="61"/>
      <c r="J836" s="61"/>
      <c r="K836" s="61"/>
      <c r="L836" s="61"/>
      <c r="M836" s="61"/>
      <c r="N836" s="61"/>
      <c r="O836" s="61"/>
      <c r="P836" s="61"/>
      <c r="Q836" s="61"/>
      <c r="R836" s="61"/>
      <c r="S836" s="61"/>
      <c r="T836" s="61"/>
      <c r="U836" s="61"/>
      <c r="V836" s="61"/>
      <c r="W836" s="61"/>
      <c r="X836" s="61"/>
      <c r="Y836" s="61"/>
      <c r="Z836" s="61"/>
    </row>
    <row r="837" spans="1:26" ht="13">
      <c r="A837" s="61"/>
      <c r="B837" s="61"/>
      <c r="C837" s="61"/>
      <c r="D837" s="61"/>
      <c r="E837" s="61"/>
      <c r="F837" s="61"/>
      <c r="G837" s="179"/>
      <c r="H837" s="61"/>
      <c r="I837" s="61"/>
      <c r="J837" s="61"/>
      <c r="K837" s="61"/>
      <c r="L837" s="61"/>
      <c r="M837" s="61"/>
      <c r="N837" s="61"/>
      <c r="O837" s="61"/>
      <c r="P837" s="61"/>
      <c r="Q837" s="61"/>
      <c r="R837" s="61"/>
      <c r="S837" s="61"/>
      <c r="T837" s="61"/>
      <c r="U837" s="61"/>
      <c r="V837" s="61"/>
      <c r="W837" s="61"/>
      <c r="X837" s="61"/>
      <c r="Y837" s="61"/>
      <c r="Z837" s="61"/>
    </row>
    <row r="838" spans="1:26" ht="13">
      <c r="A838" s="61"/>
      <c r="B838" s="61"/>
      <c r="C838" s="61"/>
      <c r="D838" s="61"/>
      <c r="E838" s="61"/>
      <c r="F838" s="61"/>
      <c r="G838" s="179"/>
      <c r="H838" s="61"/>
      <c r="I838" s="61"/>
      <c r="J838" s="61"/>
      <c r="K838" s="61"/>
      <c r="L838" s="61"/>
      <c r="M838" s="61"/>
      <c r="N838" s="61"/>
      <c r="O838" s="61"/>
      <c r="P838" s="61"/>
      <c r="Q838" s="61"/>
      <c r="R838" s="61"/>
      <c r="S838" s="61"/>
      <c r="T838" s="61"/>
      <c r="U838" s="61"/>
      <c r="V838" s="61"/>
      <c r="W838" s="61"/>
      <c r="X838" s="61"/>
      <c r="Y838" s="61"/>
      <c r="Z838" s="61"/>
    </row>
    <row r="839" spans="1:26" ht="13">
      <c r="A839" s="61"/>
      <c r="B839" s="61"/>
      <c r="C839" s="61"/>
      <c r="D839" s="61"/>
      <c r="E839" s="61"/>
      <c r="F839" s="61"/>
      <c r="G839" s="179"/>
      <c r="H839" s="61"/>
      <c r="I839" s="61"/>
      <c r="J839" s="61"/>
      <c r="K839" s="61"/>
      <c r="L839" s="61"/>
      <c r="M839" s="61"/>
      <c r="N839" s="61"/>
      <c r="O839" s="61"/>
      <c r="P839" s="61"/>
      <c r="Q839" s="61"/>
      <c r="R839" s="61"/>
      <c r="S839" s="61"/>
      <c r="T839" s="61"/>
      <c r="U839" s="61"/>
      <c r="V839" s="61"/>
      <c r="W839" s="61"/>
      <c r="X839" s="61"/>
      <c r="Y839" s="61"/>
      <c r="Z839" s="61"/>
    </row>
    <row r="840" spans="1:26" ht="13">
      <c r="A840" s="61"/>
      <c r="B840" s="61"/>
      <c r="C840" s="61"/>
      <c r="D840" s="61"/>
      <c r="E840" s="61"/>
      <c r="F840" s="61"/>
      <c r="G840" s="179"/>
      <c r="H840" s="61"/>
      <c r="I840" s="61"/>
      <c r="J840" s="61"/>
      <c r="K840" s="61"/>
      <c r="L840" s="61"/>
      <c r="M840" s="61"/>
      <c r="N840" s="61"/>
      <c r="O840" s="61"/>
      <c r="P840" s="61"/>
      <c r="Q840" s="61"/>
      <c r="R840" s="61"/>
      <c r="S840" s="61"/>
      <c r="T840" s="61"/>
      <c r="U840" s="61"/>
      <c r="V840" s="61"/>
      <c r="W840" s="61"/>
      <c r="X840" s="61"/>
      <c r="Y840" s="61"/>
      <c r="Z840" s="61"/>
    </row>
    <row r="841" spans="1:26" ht="13">
      <c r="A841" s="61"/>
      <c r="B841" s="61"/>
      <c r="C841" s="61"/>
      <c r="D841" s="61"/>
      <c r="E841" s="61"/>
      <c r="F841" s="61"/>
      <c r="G841" s="179"/>
      <c r="H841" s="61"/>
      <c r="I841" s="61"/>
      <c r="J841" s="61"/>
      <c r="K841" s="61"/>
      <c r="L841" s="61"/>
      <c r="M841" s="61"/>
      <c r="N841" s="61"/>
      <c r="O841" s="61"/>
      <c r="P841" s="61"/>
      <c r="Q841" s="61"/>
      <c r="R841" s="61"/>
      <c r="S841" s="61"/>
      <c r="T841" s="61"/>
      <c r="U841" s="61"/>
      <c r="V841" s="61"/>
      <c r="W841" s="61"/>
      <c r="X841" s="61"/>
      <c r="Y841" s="61"/>
      <c r="Z841" s="61"/>
    </row>
    <row r="842" spans="1:26" ht="13">
      <c r="A842" s="61"/>
      <c r="B842" s="61"/>
      <c r="C842" s="61"/>
      <c r="D842" s="61"/>
      <c r="E842" s="61"/>
      <c r="F842" s="61"/>
      <c r="G842" s="179"/>
      <c r="H842" s="61"/>
      <c r="I842" s="61"/>
      <c r="J842" s="61"/>
      <c r="K842" s="61"/>
      <c r="L842" s="61"/>
      <c r="M842" s="61"/>
      <c r="N842" s="61"/>
      <c r="O842" s="61"/>
      <c r="P842" s="61"/>
      <c r="Q842" s="61"/>
      <c r="R842" s="61"/>
      <c r="S842" s="61"/>
      <c r="T842" s="61"/>
      <c r="U842" s="61"/>
      <c r="V842" s="61"/>
      <c r="W842" s="61"/>
      <c r="X842" s="61"/>
      <c r="Y842" s="61"/>
      <c r="Z842" s="61"/>
    </row>
    <row r="843" spans="1:26" ht="13">
      <c r="A843" s="61"/>
      <c r="B843" s="61"/>
      <c r="C843" s="61"/>
      <c r="D843" s="61"/>
      <c r="E843" s="61"/>
      <c r="F843" s="61"/>
      <c r="G843" s="179"/>
      <c r="H843" s="61"/>
      <c r="I843" s="61"/>
      <c r="J843" s="61"/>
      <c r="K843" s="61"/>
      <c r="L843" s="61"/>
      <c r="M843" s="61"/>
      <c r="N843" s="61"/>
      <c r="O843" s="61"/>
      <c r="P843" s="61"/>
      <c r="Q843" s="61"/>
      <c r="R843" s="61"/>
      <c r="S843" s="61"/>
      <c r="T843" s="61"/>
      <c r="U843" s="61"/>
      <c r="V843" s="61"/>
      <c r="W843" s="61"/>
      <c r="X843" s="61"/>
      <c r="Y843" s="61"/>
      <c r="Z843" s="61"/>
    </row>
    <row r="844" spans="1:26" ht="13">
      <c r="A844" s="61"/>
      <c r="B844" s="61"/>
      <c r="C844" s="61"/>
      <c r="D844" s="61"/>
      <c r="E844" s="61"/>
      <c r="F844" s="61"/>
      <c r="G844" s="179"/>
      <c r="H844" s="61"/>
      <c r="I844" s="61"/>
      <c r="J844" s="61"/>
      <c r="K844" s="61"/>
      <c r="L844" s="61"/>
      <c r="M844" s="61"/>
      <c r="N844" s="61"/>
      <c r="O844" s="61"/>
      <c r="P844" s="61"/>
      <c r="Q844" s="61"/>
      <c r="R844" s="61"/>
      <c r="S844" s="61"/>
      <c r="T844" s="61"/>
      <c r="U844" s="61"/>
      <c r="V844" s="61"/>
      <c r="W844" s="61"/>
      <c r="X844" s="61"/>
      <c r="Y844" s="61"/>
      <c r="Z844" s="61"/>
    </row>
    <row r="845" spans="1:26" ht="13">
      <c r="A845" s="61"/>
      <c r="B845" s="61"/>
      <c r="C845" s="61"/>
      <c r="D845" s="61"/>
      <c r="E845" s="61"/>
      <c r="F845" s="61"/>
      <c r="G845" s="179"/>
      <c r="H845" s="61"/>
      <c r="I845" s="61"/>
      <c r="J845" s="61"/>
      <c r="K845" s="61"/>
      <c r="L845" s="61"/>
      <c r="M845" s="61"/>
      <c r="N845" s="61"/>
      <c r="O845" s="61"/>
      <c r="P845" s="61"/>
      <c r="Q845" s="61"/>
      <c r="R845" s="61"/>
      <c r="S845" s="61"/>
      <c r="T845" s="61"/>
      <c r="U845" s="61"/>
      <c r="V845" s="61"/>
      <c r="W845" s="61"/>
      <c r="X845" s="61"/>
      <c r="Y845" s="61"/>
      <c r="Z845" s="61"/>
    </row>
    <row r="846" spans="1:26" ht="13">
      <c r="A846" s="61"/>
      <c r="B846" s="61"/>
      <c r="C846" s="61"/>
      <c r="D846" s="61"/>
      <c r="E846" s="61"/>
      <c r="F846" s="61"/>
      <c r="G846" s="179"/>
      <c r="H846" s="61"/>
      <c r="I846" s="61"/>
      <c r="J846" s="61"/>
      <c r="K846" s="61"/>
      <c r="L846" s="61"/>
      <c r="M846" s="61"/>
      <c r="N846" s="61"/>
      <c r="O846" s="61"/>
      <c r="P846" s="61"/>
      <c r="Q846" s="61"/>
      <c r="R846" s="61"/>
      <c r="S846" s="61"/>
      <c r="T846" s="61"/>
      <c r="U846" s="61"/>
      <c r="V846" s="61"/>
      <c r="W846" s="61"/>
      <c r="X846" s="61"/>
      <c r="Y846" s="61"/>
      <c r="Z846" s="61"/>
    </row>
    <row r="847" spans="1:26" ht="13">
      <c r="A847" s="61"/>
      <c r="B847" s="61"/>
      <c r="C847" s="61"/>
      <c r="D847" s="61"/>
      <c r="E847" s="61"/>
      <c r="F847" s="61"/>
      <c r="G847" s="179"/>
      <c r="H847" s="61"/>
      <c r="I847" s="61"/>
      <c r="J847" s="61"/>
      <c r="K847" s="61"/>
      <c r="L847" s="61"/>
      <c r="M847" s="61"/>
      <c r="N847" s="61"/>
      <c r="O847" s="61"/>
      <c r="P847" s="61"/>
      <c r="Q847" s="61"/>
      <c r="R847" s="61"/>
      <c r="S847" s="61"/>
      <c r="T847" s="61"/>
      <c r="U847" s="61"/>
      <c r="V847" s="61"/>
      <c r="W847" s="61"/>
      <c r="X847" s="61"/>
      <c r="Y847" s="61"/>
      <c r="Z847" s="61"/>
    </row>
    <row r="848" spans="1:26" ht="13">
      <c r="A848" s="61"/>
      <c r="B848" s="61"/>
      <c r="C848" s="61"/>
      <c r="D848" s="61"/>
      <c r="E848" s="61"/>
      <c r="F848" s="61"/>
      <c r="G848" s="179"/>
      <c r="H848" s="61"/>
      <c r="I848" s="61"/>
      <c r="J848" s="61"/>
      <c r="K848" s="61"/>
      <c r="L848" s="61"/>
      <c r="M848" s="61"/>
      <c r="N848" s="61"/>
      <c r="O848" s="61"/>
      <c r="P848" s="61"/>
      <c r="Q848" s="61"/>
      <c r="R848" s="61"/>
      <c r="S848" s="61"/>
      <c r="T848" s="61"/>
      <c r="U848" s="61"/>
      <c r="V848" s="61"/>
      <c r="W848" s="61"/>
      <c r="X848" s="61"/>
      <c r="Y848" s="61"/>
      <c r="Z848" s="61"/>
    </row>
    <row r="849" spans="1:26" ht="13">
      <c r="A849" s="61"/>
      <c r="B849" s="61"/>
      <c r="C849" s="61"/>
      <c r="D849" s="61"/>
      <c r="E849" s="61"/>
      <c r="F849" s="61"/>
      <c r="G849" s="179"/>
      <c r="H849" s="61"/>
      <c r="I849" s="61"/>
      <c r="J849" s="61"/>
      <c r="K849" s="61"/>
      <c r="L849" s="61"/>
      <c r="M849" s="61"/>
      <c r="N849" s="61"/>
      <c r="O849" s="61"/>
      <c r="P849" s="61"/>
      <c r="Q849" s="61"/>
      <c r="R849" s="61"/>
      <c r="S849" s="61"/>
      <c r="T849" s="61"/>
      <c r="U849" s="61"/>
      <c r="V849" s="61"/>
      <c r="W849" s="61"/>
      <c r="X849" s="61"/>
      <c r="Y849" s="61"/>
      <c r="Z849" s="61"/>
    </row>
    <row r="850" spans="1:26" ht="13">
      <c r="A850" s="61"/>
      <c r="B850" s="61"/>
      <c r="C850" s="61"/>
      <c r="D850" s="61"/>
      <c r="E850" s="61"/>
      <c r="F850" s="61"/>
      <c r="G850" s="179"/>
      <c r="H850" s="61"/>
      <c r="I850" s="61"/>
      <c r="J850" s="61"/>
      <c r="K850" s="61"/>
      <c r="L850" s="61"/>
      <c r="M850" s="61"/>
      <c r="N850" s="61"/>
      <c r="O850" s="61"/>
      <c r="P850" s="61"/>
      <c r="Q850" s="61"/>
      <c r="R850" s="61"/>
      <c r="S850" s="61"/>
      <c r="T850" s="61"/>
      <c r="U850" s="61"/>
      <c r="V850" s="61"/>
      <c r="W850" s="61"/>
      <c r="X850" s="61"/>
      <c r="Y850" s="61"/>
      <c r="Z850" s="61"/>
    </row>
    <row r="851" spans="1:26" ht="13">
      <c r="A851" s="61"/>
      <c r="B851" s="61"/>
      <c r="C851" s="61"/>
      <c r="D851" s="61"/>
      <c r="E851" s="61"/>
      <c r="F851" s="61"/>
      <c r="G851" s="179"/>
      <c r="H851" s="61"/>
      <c r="I851" s="61"/>
      <c r="J851" s="61"/>
      <c r="K851" s="61"/>
      <c r="L851" s="61"/>
      <c r="M851" s="61"/>
      <c r="N851" s="61"/>
      <c r="O851" s="61"/>
      <c r="P851" s="61"/>
      <c r="Q851" s="61"/>
      <c r="R851" s="61"/>
      <c r="S851" s="61"/>
      <c r="T851" s="61"/>
      <c r="U851" s="61"/>
      <c r="V851" s="61"/>
      <c r="W851" s="61"/>
      <c r="X851" s="61"/>
      <c r="Y851" s="61"/>
      <c r="Z851" s="61"/>
    </row>
    <row r="852" spans="1:26" ht="13">
      <c r="A852" s="61"/>
      <c r="B852" s="61"/>
      <c r="C852" s="61"/>
      <c r="D852" s="61"/>
      <c r="E852" s="61"/>
      <c r="F852" s="61"/>
      <c r="G852" s="179"/>
      <c r="H852" s="61"/>
      <c r="I852" s="61"/>
      <c r="J852" s="61"/>
      <c r="K852" s="61"/>
      <c r="L852" s="61"/>
      <c r="M852" s="61"/>
      <c r="N852" s="61"/>
      <c r="O852" s="61"/>
      <c r="P852" s="61"/>
      <c r="Q852" s="61"/>
      <c r="R852" s="61"/>
      <c r="S852" s="61"/>
      <c r="T852" s="61"/>
      <c r="U852" s="61"/>
      <c r="V852" s="61"/>
      <c r="W852" s="61"/>
      <c r="X852" s="61"/>
      <c r="Y852" s="61"/>
      <c r="Z852" s="61"/>
    </row>
    <row r="853" spans="1:26" ht="13">
      <c r="A853" s="61"/>
      <c r="B853" s="61"/>
      <c r="C853" s="61"/>
      <c r="D853" s="61"/>
      <c r="E853" s="61"/>
      <c r="F853" s="61"/>
      <c r="G853" s="179"/>
      <c r="H853" s="61"/>
      <c r="I853" s="61"/>
      <c r="J853" s="61"/>
      <c r="K853" s="61"/>
      <c r="L853" s="61"/>
      <c r="M853" s="61"/>
      <c r="N853" s="61"/>
      <c r="O853" s="61"/>
      <c r="P853" s="61"/>
      <c r="Q853" s="61"/>
      <c r="R853" s="61"/>
      <c r="S853" s="61"/>
      <c r="T853" s="61"/>
      <c r="U853" s="61"/>
      <c r="V853" s="61"/>
      <c r="W853" s="61"/>
      <c r="X853" s="61"/>
      <c r="Y853" s="61"/>
      <c r="Z853" s="61"/>
    </row>
    <row r="854" spans="1:26" ht="13">
      <c r="A854" s="61"/>
      <c r="B854" s="61"/>
      <c r="C854" s="61"/>
      <c r="D854" s="61"/>
      <c r="E854" s="61"/>
      <c r="F854" s="61"/>
      <c r="G854" s="179"/>
      <c r="H854" s="61"/>
      <c r="I854" s="61"/>
      <c r="J854" s="61"/>
      <c r="K854" s="61"/>
      <c r="L854" s="61"/>
      <c r="M854" s="61"/>
      <c r="N854" s="61"/>
      <c r="O854" s="61"/>
      <c r="P854" s="61"/>
      <c r="Q854" s="61"/>
      <c r="R854" s="61"/>
      <c r="S854" s="61"/>
      <c r="T854" s="61"/>
      <c r="U854" s="61"/>
      <c r="V854" s="61"/>
      <c r="W854" s="61"/>
      <c r="X854" s="61"/>
      <c r="Y854" s="61"/>
      <c r="Z854" s="61"/>
    </row>
    <row r="855" spans="1:26" ht="13">
      <c r="A855" s="61"/>
      <c r="B855" s="61"/>
      <c r="C855" s="61"/>
      <c r="D855" s="61"/>
      <c r="E855" s="61"/>
      <c r="F855" s="61"/>
      <c r="G855" s="179"/>
      <c r="H855" s="61"/>
      <c r="I855" s="61"/>
      <c r="J855" s="61"/>
      <c r="K855" s="61"/>
      <c r="L855" s="61"/>
      <c r="M855" s="61"/>
      <c r="N855" s="61"/>
      <c r="O855" s="61"/>
      <c r="P855" s="61"/>
      <c r="Q855" s="61"/>
      <c r="R855" s="61"/>
      <c r="S855" s="61"/>
      <c r="T855" s="61"/>
      <c r="U855" s="61"/>
      <c r="V855" s="61"/>
      <c r="W855" s="61"/>
      <c r="X855" s="61"/>
      <c r="Y855" s="61"/>
      <c r="Z855" s="61"/>
    </row>
    <row r="856" spans="1:26" ht="13">
      <c r="A856" s="61"/>
      <c r="B856" s="61"/>
      <c r="C856" s="61"/>
      <c r="D856" s="61"/>
      <c r="E856" s="61"/>
      <c r="F856" s="61"/>
      <c r="G856" s="179"/>
      <c r="H856" s="61"/>
      <c r="I856" s="61"/>
      <c r="J856" s="61"/>
      <c r="K856" s="61"/>
      <c r="L856" s="61"/>
      <c r="M856" s="61"/>
      <c r="N856" s="61"/>
      <c r="O856" s="61"/>
      <c r="P856" s="61"/>
      <c r="Q856" s="61"/>
      <c r="R856" s="61"/>
      <c r="S856" s="61"/>
      <c r="T856" s="61"/>
      <c r="U856" s="61"/>
      <c r="V856" s="61"/>
      <c r="W856" s="61"/>
      <c r="X856" s="61"/>
      <c r="Y856" s="61"/>
      <c r="Z856" s="61"/>
    </row>
    <row r="857" spans="1:26" ht="13">
      <c r="A857" s="61"/>
      <c r="B857" s="61"/>
      <c r="C857" s="61"/>
      <c r="D857" s="61"/>
      <c r="E857" s="61"/>
      <c r="F857" s="61"/>
      <c r="G857" s="179"/>
      <c r="H857" s="61"/>
      <c r="I857" s="61"/>
      <c r="J857" s="61"/>
      <c r="K857" s="61"/>
      <c r="L857" s="61"/>
      <c r="M857" s="61"/>
      <c r="N857" s="61"/>
      <c r="O857" s="61"/>
      <c r="P857" s="61"/>
      <c r="Q857" s="61"/>
      <c r="R857" s="61"/>
      <c r="S857" s="61"/>
      <c r="T857" s="61"/>
      <c r="U857" s="61"/>
      <c r="V857" s="61"/>
      <c r="W857" s="61"/>
      <c r="X857" s="61"/>
      <c r="Y857" s="61"/>
      <c r="Z857" s="61"/>
    </row>
    <row r="858" spans="1:26" ht="13">
      <c r="A858" s="61"/>
      <c r="B858" s="61"/>
      <c r="C858" s="61"/>
      <c r="D858" s="61"/>
      <c r="E858" s="61"/>
      <c r="F858" s="61"/>
      <c r="G858" s="179"/>
      <c r="H858" s="61"/>
      <c r="I858" s="61"/>
      <c r="J858" s="61"/>
      <c r="K858" s="61"/>
      <c r="L858" s="61"/>
      <c r="M858" s="61"/>
      <c r="N858" s="61"/>
      <c r="O858" s="61"/>
      <c r="P858" s="61"/>
      <c r="Q858" s="61"/>
      <c r="R858" s="61"/>
      <c r="S858" s="61"/>
      <c r="T858" s="61"/>
      <c r="U858" s="61"/>
      <c r="V858" s="61"/>
      <c r="W858" s="61"/>
      <c r="X858" s="61"/>
      <c r="Y858" s="61"/>
      <c r="Z858" s="61"/>
    </row>
    <row r="859" spans="1:26" ht="13">
      <c r="A859" s="61"/>
      <c r="B859" s="61"/>
      <c r="C859" s="61"/>
      <c r="D859" s="61"/>
      <c r="E859" s="61"/>
      <c r="F859" s="61"/>
      <c r="G859" s="179"/>
      <c r="H859" s="61"/>
      <c r="I859" s="61"/>
      <c r="J859" s="61"/>
      <c r="K859" s="61"/>
      <c r="L859" s="61"/>
      <c r="M859" s="61"/>
      <c r="N859" s="61"/>
      <c r="O859" s="61"/>
      <c r="P859" s="61"/>
      <c r="Q859" s="61"/>
      <c r="R859" s="61"/>
      <c r="S859" s="61"/>
      <c r="T859" s="61"/>
      <c r="U859" s="61"/>
      <c r="V859" s="61"/>
      <c r="W859" s="61"/>
      <c r="X859" s="61"/>
      <c r="Y859" s="61"/>
      <c r="Z859" s="61"/>
    </row>
    <row r="860" spans="1:26" ht="13">
      <c r="A860" s="61"/>
      <c r="B860" s="61"/>
      <c r="C860" s="61"/>
      <c r="D860" s="61"/>
      <c r="E860" s="61"/>
      <c r="F860" s="61"/>
      <c r="G860" s="179"/>
      <c r="H860" s="61"/>
      <c r="I860" s="61"/>
      <c r="J860" s="61"/>
      <c r="K860" s="61"/>
      <c r="L860" s="61"/>
      <c r="M860" s="61"/>
      <c r="N860" s="61"/>
      <c r="O860" s="61"/>
      <c r="P860" s="61"/>
      <c r="Q860" s="61"/>
      <c r="R860" s="61"/>
      <c r="S860" s="61"/>
      <c r="T860" s="61"/>
      <c r="U860" s="61"/>
      <c r="V860" s="61"/>
      <c r="W860" s="61"/>
      <c r="X860" s="61"/>
      <c r="Y860" s="61"/>
      <c r="Z860" s="61"/>
    </row>
    <row r="861" spans="1:26" ht="13">
      <c r="A861" s="61"/>
      <c r="B861" s="61"/>
      <c r="C861" s="61"/>
      <c r="D861" s="61"/>
      <c r="E861" s="61"/>
      <c r="F861" s="61"/>
      <c r="G861" s="179"/>
      <c r="H861" s="61"/>
      <c r="I861" s="61"/>
      <c r="J861" s="61"/>
      <c r="K861" s="61"/>
      <c r="L861" s="61"/>
      <c r="M861" s="61"/>
      <c r="N861" s="61"/>
      <c r="O861" s="61"/>
      <c r="P861" s="61"/>
      <c r="Q861" s="61"/>
      <c r="R861" s="61"/>
      <c r="S861" s="61"/>
      <c r="T861" s="61"/>
      <c r="U861" s="61"/>
      <c r="V861" s="61"/>
      <c r="W861" s="61"/>
      <c r="X861" s="61"/>
      <c r="Y861" s="61"/>
      <c r="Z861" s="61"/>
    </row>
    <row r="862" spans="1:26" ht="13">
      <c r="A862" s="61"/>
      <c r="B862" s="61"/>
      <c r="C862" s="61"/>
      <c r="D862" s="61"/>
      <c r="E862" s="61"/>
      <c r="F862" s="61"/>
      <c r="G862" s="179"/>
      <c r="H862" s="61"/>
      <c r="I862" s="61"/>
      <c r="J862" s="61"/>
      <c r="K862" s="61"/>
      <c r="L862" s="61"/>
      <c r="M862" s="61"/>
      <c r="N862" s="61"/>
      <c r="O862" s="61"/>
      <c r="P862" s="61"/>
      <c r="Q862" s="61"/>
      <c r="R862" s="61"/>
      <c r="S862" s="61"/>
      <c r="T862" s="61"/>
      <c r="U862" s="61"/>
      <c r="V862" s="61"/>
      <c r="W862" s="61"/>
      <c r="X862" s="61"/>
      <c r="Y862" s="61"/>
      <c r="Z862" s="61"/>
    </row>
    <row r="863" spans="1:26" ht="13">
      <c r="A863" s="61"/>
      <c r="B863" s="61"/>
      <c r="C863" s="61"/>
      <c r="D863" s="61"/>
      <c r="E863" s="61"/>
      <c r="F863" s="61"/>
      <c r="G863" s="179"/>
      <c r="H863" s="61"/>
      <c r="I863" s="61"/>
      <c r="J863" s="61"/>
      <c r="K863" s="61"/>
      <c r="L863" s="61"/>
      <c r="M863" s="61"/>
      <c r="N863" s="61"/>
      <c r="O863" s="61"/>
      <c r="P863" s="61"/>
      <c r="Q863" s="61"/>
      <c r="R863" s="61"/>
      <c r="S863" s="61"/>
      <c r="T863" s="61"/>
      <c r="U863" s="61"/>
      <c r="V863" s="61"/>
      <c r="W863" s="61"/>
      <c r="X863" s="61"/>
      <c r="Y863" s="61"/>
      <c r="Z863" s="61"/>
    </row>
    <row r="864" spans="1:26" ht="13">
      <c r="A864" s="61"/>
      <c r="B864" s="61"/>
      <c r="C864" s="61"/>
      <c r="D864" s="61"/>
      <c r="E864" s="61"/>
      <c r="F864" s="61"/>
      <c r="G864" s="179"/>
      <c r="H864" s="61"/>
      <c r="I864" s="61"/>
      <c r="J864" s="61"/>
      <c r="K864" s="61"/>
      <c r="L864" s="61"/>
      <c r="M864" s="61"/>
      <c r="N864" s="61"/>
      <c r="O864" s="61"/>
      <c r="P864" s="61"/>
      <c r="Q864" s="61"/>
      <c r="R864" s="61"/>
      <c r="S864" s="61"/>
      <c r="T864" s="61"/>
      <c r="U864" s="61"/>
      <c r="V864" s="61"/>
      <c r="W864" s="61"/>
      <c r="X864" s="61"/>
      <c r="Y864" s="61"/>
      <c r="Z864" s="61"/>
    </row>
    <row r="865" spans="1:26" ht="13">
      <c r="A865" s="61"/>
      <c r="B865" s="61"/>
      <c r="C865" s="61"/>
      <c r="D865" s="61"/>
      <c r="E865" s="61"/>
      <c r="F865" s="61"/>
      <c r="G865" s="179"/>
      <c r="H865" s="61"/>
      <c r="I865" s="61"/>
      <c r="J865" s="61"/>
      <c r="K865" s="61"/>
      <c r="L865" s="61"/>
      <c r="M865" s="61"/>
      <c r="N865" s="61"/>
      <c r="O865" s="61"/>
      <c r="P865" s="61"/>
      <c r="Q865" s="61"/>
      <c r="R865" s="61"/>
      <c r="S865" s="61"/>
      <c r="T865" s="61"/>
      <c r="U865" s="61"/>
      <c r="V865" s="61"/>
      <c r="W865" s="61"/>
      <c r="X865" s="61"/>
      <c r="Y865" s="61"/>
      <c r="Z865" s="61"/>
    </row>
    <row r="866" spans="1:26" ht="13">
      <c r="A866" s="61"/>
      <c r="B866" s="61"/>
      <c r="C866" s="61"/>
      <c r="D866" s="61"/>
      <c r="E866" s="61"/>
      <c r="F866" s="61"/>
      <c r="G866" s="179"/>
      <c r="H866" s="61"/>
      <c r="I866" s="61"/>
      <c r="J866" s="61"/>
      <c r="K866" s="61"/>
      <c r="L866" s="61"/>
      <c r="M866" s="61"/>
      <c r="N866" s="61"/>
      <c r="O866" s="61"/>
      <c r="P866" s="61"/>
      <c r="Q866" s="61"/>
      <c r="R866" s="61"/>
      <c r="S866" s="61"/>
      <c r="T866" s="61"/>
      <c r="U866" s="61"/>
      <c r="V866" s="61"/>
      <c r="W866" s="61"/>
      <c r="X866" s="61"/>
      <c r="Y866" s="61"/>
      <c r="Z866" s="61"/>
    </row>
    <row r="867" spans="1:26" ht="13">
      <c r="A867" s="61"/>
      <c r="B867" s="61"/>
      <c r="C867" s="61"/>
      <c r="D867" s="61"/>
      <c r="E867" s="61"/>
      <c r="F867" s="61"/>
      <c r="G867" s="179"/>
      <c r="H867" s="61"/>
      <c r="I867" s="61"/>
      <c r="J867" s="61"/>
      <c r="K867" s="61"/>
      <c r="L867" s="61"/>
      <c r="M867" s="61"/>
      <c r="N867" s="61"/>
      <c r="O867" s="61"/>
      <c r="P867" s="61"/>
      <c r="Q867" s="61"/>
      <c r="R867" s="61"/>
      <c r="S867" s="61"/>
      <c r="T867" s="61"/>
      <c r="U867" s="61"/>
      <c r="V867" s="61"/>
      <c r="W867" s="61"/>
      <c r="X867" s="61"/>
      <c r="Y867" s="61"/>
      <c r="Z867" s="61"/>
    </row>
    <row r="868" spans="1:26" ht="13">
      <c r="A868" s="61"/>
      <c r="B868" s="61"/>
      <c r="C868" s="61"/>
      <c r="D868" s="61"/>
      <c r="E868" s="61"/>
      <c r="F868" s="61"/>
      <c r="G868" s="179"/>
      <c r="H868" s="61"/>
      <c r="I868" s="61"/>
      <c r="J868" s="61"/>
      <c r="K868" s="61"/>
      <c r="L868" s="61"/>
      <c r="M868" s="61"/>
      <c r="N868" s="61"/>
      <c r="O868" s="61"/>
      <c r="P868" s="61"/>
      <c r="Q868" s="61"/>
      <c r="R868" s="61"/>
      <c r="S868" s="61"/>
      <c r="T868" s="61"/>
      <c r="U868" s="61"/>
      <c r="V868" s="61"/>
      <c r="W868" s="61"/>
      <c r="X868" s="61"/>
      <c r="Y868" s="61"/>
      <c r="Z868" s="61"/>
    </row>
    <row r="869" spans="1:26" ht="13">
      <c r="A869" s="61"/>
      <c r="B869" s="61"/>
      <c r="C869" s="61"/>
      <c r="D869" s="61"/>
      <c r="E869" s="61"/>
      <c r="F869" s="61"/>
      <c r="G869" s="179"/>
      <c r="H869" s="61"/>
      <c r="I869" s="61"/>
      <c r="J869" s="61"/>
      <c r="K869" s="61"/>
      <c r="L869" s="61"/>
      <c r="M869" s="61"/>
      <c r="N869" s="61"/>
      <c r="O869" s="61"/>
      <c r="P869" s="61"/>
      <c r="Q869" s="61"/>
      <c r="R869" s="61"/>
      <c r="S869" s="61"/>
      <c r="T869" s="61"/>
      <c r="U869" s="61"/>
      <c r="V869" s="61"/>
      <c r="W869" s="61"/>
      <c r="X869" s="61"/>
      <c r="Y869" s="61"/>
      <c r="Z869" s="61"/>
    </row>
    <row r="870" spans="1:26" ht="13">
      <c r="A870" s="61"/>
      <c r="B870" s="61"/>
      <c r="C870" s="61"/>
      <c r="D870" s="61"/>
      <c r="E870" s="61"/>
      <c r="F870" s="61"/>
      <c r="G870" s="179"/>
      <c r="H870" s="61"/>
      <c r="I870" s="61"/>
      <c r="J870" s="61"/>
      <c r="K870" s="61"/>
      <c r="L870" s="61"/>
      <c r="M870" s="61"/>
      <c r="N870" s="61"/>
      <c r="O870" s="61"/>
      <c r="P870" s="61"/>
      <c r="Q870" s="61"/>
      <c r="R870" s="61"/>
      <c r="S870" s="61"/>
      <c r="T870" s="61"/>
      <c r="U870" s="61"/>
      <c r="V870" s="61"/>
      <c r="W870" s="61"/>
      <c r="X870" s="61"/>
      <c r="Y870" s="61"/>
      <c r="Z870" s="61"/>
    </row>
    <row r="871" spans="1:26" ht="13">
      <c r="A871" s="61"/>
      <c r="B871" s="61"/>
      <c r="C871" s="61"/>
      <c r="D871" s="61"/>
      <c r="E871" s="61"/>
      <c r="F871" s="61"/>
      <c r="G871" s="179"/>
      <c r="H871" s="61"/>
      <c r="I871" s="61"/>
      <c r="J871" s="61"/>
      <c r="K871" s="61"/>
      <c r="L871" s="61"/>
      <c r="M871" s="61"/>
      <c r="N871" s="61"/>
      <c r="O871" s="61"/>
      <c r="P871" s="61"/>
      <c r="Q871" s="61"/>
      <c r="R871" s="61"/>
      <c r="S871" s="61"/>
      <c r="T871" s="61"/>
      <c r="U871" s="61"/>
      <c r="V871" s="61"/>
      <c r="W871" s="61"/>
      <c r="X871" s="61"/>
      <c r="Y871" s="61"/>
      <c r="Z871" s="61"/>
    </row>
    <row r="872" spans="1:26" ht="13">
      <c r="A872" s="61"/>
      <c r="B872" s="61"/>
      <c r="C872" s="61"/>
      <c r="D872" s="61"/>
      <c r="E872" s="61"/>
      <c r="F872" s="61"/>
      <c r="G872" s="179"/>
      <c r="H872" s="61"/>
      <c r="I872" s="61"/>
      <c r="J872" s="61"/>
      <c r="K872" s="61"/>
      <c r="L872" s="61"/>
      <c r="M872" s="61"/>
      <c r="N872" s="61"/>
      <c r="O872" s="61"/>
      <c r="P872" s="61"/>
      <c r="Q872" s="61"/>
      <c r="R872" s="61"/>
      <c r="S872" s="61"/>
      <c r="T872" s="61"/>
      <c r="U872" s="61"/>
      <c r="V872" s="61"/>
      <c r="W872" s="61"/>
      <c r="X872" s="61"/>
      <c r="Y872" s="61"/>
      <c r="Z872" s="61"/>
    </row>
    <row r="873" spans="1:26" ht="13">
      <c r="A873" s="61"/>
      <c r="B873" s="61"/>
      <c r="C873" s="61"/>
      <c r="D873" s="61"/>
      <c r="E873" s="61"/>
      <c r="F873" s="61"/>
      <c r="G873" s="179"/>
      <c r="H873" s="61"/>
      <c r="I873" s="61"/>
      <c r="J873" s="61"/>
      <c r="K873" s="61"/>
      <c r="L873" s="61"/>
      <c r="M873" s="61"/>
      <c r="N873" s="61"/>
      <c r="O873" s="61"/>
      <c r="P873" s="61"/>
      <c r="Q873" s="61"/>
      <c r="R873" s="61"/>
      <c r="S873" s="61"/>
      <c r="T873" s="61"/>
      <c r="U873" s="61"/>
      <c r="V873" s="61"/>
      <c r="W873" s="61"/>
      <c r="X873" s="61"/>
      <c r="Y873" s="61"/>
      <c r="Z873" s="61"/>
    </row>
    <row r="874" spans="1:26" ht="13">
      <c r="A874" s="61"/>
      <c r="B874" s="61"/>
      <c r="C874" s="61"/>
      <c r="D874" s="61"/>
      <c r="E874" s="61"/>
      <c r="F874" s="61"/>
      <c r="G874" s="179"/>
      <c r="H874" s="61"/>
      <c r="I874" s="61"/>
      <c r="J874" s="61"/>
      <c r="K874" s="61"/>
      <c r="L874" s="61"/>
      <c r="M874" s="61"/>
      <c r="N874" s="61"/>
      <c r="O874" s="61"/>
      <c r="P874" s="61"/>
      <c r="Q874" s="61"/>
      <c r="R874" s="61"/>
      <c r="S874" s="61"/>
      <c r="T874" s="61"/>
      <c r="U874" s="61"/>
      <c r="V874" s="61"/>
      <c r="W874" s="61"/>
      <c r="X874" s="61"/>
      <c r="Y874" s="61"/>
      <c r="Z874" s="61"/>
    </row>
    <row r="875" spans="1:26" ht="13">
      <c r="A875" s="61"/>
      <c r="B875" s="61"/>
      <c r="C875" s="61"/>
      <c r="D875" s="61"/>
      <c r="E875" s="61"/>
      <c r="F875" s="61"/>
      <c r="G875" s="179"/>
      <c r="H875" s="61"/>
      <c r="I875" s="61"/>
      <c r="J875" s="61"/>
      <c r="K875" s="61"/>
      <c r="L875" s="61"/>
      <c r="M875" s="61"/>
      <c r="N875" s="61"/>
      <c r="O875" s="61"/>
      <c r="P875" s="61"/>
      <c r="Q875" s="61"/>
      <c r="R875" s="61"/>
      <c r="S875" s="61"/>
      <c r="T875" s="61"/>
      <c r="U875" s="61"/>
      <c r="V875" s="61"/>
      <c r="W875" s="61"/>
      <c r="X875" s="61"/>
      <c r="Y875" s="61"/>
      <c r="Z875" s="61"/>
    </row>
    <row r="876" spans="1:26" ht="13">
      <c r="A876" s="61"/>
      <c r="B876" s="61"/>
      <c r="C876" s="61"/>
      <c r="D876" s="61"/>
      <c r="E876" s="61"/>
      <c r="F876" s="61"/>
      <c r="G876" s="179"/>
      <c r="H876" s="61"/>
      <c r="I876" s="61"/>
      <c r="J876" s="61"/>
      <c r="K876" s="61"/>
      <c r="L876" s="61"/>
      <c r="M876" s="61"/>
      <c r="N876" s="61"/>
      <c r="O876" s="61"/>
      <c r="P876" s="61"/>
      <c r="Q876" s="61"/>
      <c r="R876" s="61"/>
      <c r="S876" s="61"/>
      <c r="T876" s="61"/>
      <c r="U876" s="61"/>
      <c r="V876" s="61"/>
      <c r="W876" s="61"/>
      <c r="X876" s="61"/>
      <c r="Y876" s="61"/>
      <c r="Z876" s="61"/>
    </row>
    <row r="877" spans="1:26" ht="13">
      <c r="A877" s="61"/>
      <c r="B877" s="61"/>
      <c r="C877" s="61"/>
      <c r="D877" s="61"/>
      <c r="E877" s="61"/>
      <c r="F877" s="61"/>
      <c r="G877" s="179"/>
      <c r="H877" s="61"/>
      <c r="I877" s="61"/>
      <c r="J877" s="61"/>
      <c r="K877" s="61"/>
      <c r="L877" s="61"/>
      <c r="M877" s="61"/>
      <c r="N877" s="61"/>
      <c r="O877" s="61"/>
      <c r="P877" s="61"/>
      <c r="Q877" s="61"/>
      <c r="R877" s="61"/>
      <c r="S877" s="61"/>
      <c r="T877" s="61"/>
      <c r="U877" s="61"/>
      <c r="V877" s="61"/>
      <c r="W877" s="61"/>
      <c r="X877" s="61"/>
      <c r="Y877" s="61"/>
      <c r="Z877" s="61"/>
    </row>
    <row r="878" spans="1:26" ht="13">
      <c r="A878" s="61"/>
      <c r="B878" s="61"/>
      <c r="C878" s="61"/>
      <c r="D878" s="61"/>
      <c r="E878" s="61"/>
      <c r="F878" s="61"/>
      <c r="G878" s="179"/>
      <c r="H878" s="61"/>
      <c r="I878" s="61"/>
      <c r="J878" s="61"/>
      <c r="K878" s="61"/>
      <c r="L878" s="61"/>
      <c r="M878" s="61"/>
      <c r="N878" s="61"/>
      <c r="O878" s="61"/>
      <c r="P878" s="61"/>
      <c r="Q878" s="61"/>
      <c r="R878" s="61"/>
      <c r="S878" s="61"/>
      <c r="T878" s="61"/>
      <c r="U878" s="61"/>
      <c r="V878" s="61"/>
      <c r="W878" s="61"/>
      <c r="X878" s="61"/>
      <c r="Y878" s="61"/>
      <c r="Z878" s="61"/>
    </row>
    <row r="879" spans="1:26" ht="13">
      <c r="A879" s="61"/>
      <c r="B879" s="61"/>
      <c r="C879" s="61"/>
      <c r="D879" s="61"/>
      <c r="E879" s="61"/>
      <c r="F879" s="61"/>
      <c r="G879" s="179"/>
      <c r="H879" s="61"/>
      <c r="I879" s="61"/>
      <c r="J879" s="61"/>
      <c r="K879" s="61"/>
      <c r="L879" s="61"/>
      <c r="M879" s="61"/>
      <c r="N879" s="61"/>
      <c r="O879" s="61"/>
      <c r="P879" s="61"/>
      <c r="Q879" s="61"/>
      <c r="R879" s="61"/>
      <c r="S879" s="61"/>
      <c r="T879" s="61"/>
      <c r="U879" s="61"/>
      <c r="V879" s="61"/>
      <c r="W879" s="61"/>
      <c r="X879" s="61"/>
      <c r="Y879" s="61"/>
      <c r="Z879" s="61"/>
    </row>
    <row r="880" spans="1:26" ht="13">
      <c r="A880" s="61"/>
      <c r="B880" s="61"/>
      <c r="C880" s="61"/>
      <c r="D880" s="61"/>
      <c r="E880" s="61"/>
      <c r="F880" s="61"/>
      <c r="G880" s="179"/>
      <c r="H880" s="61"/>
      <c r="I880" s="61"/>
      <c r="J880" s="61"/>
      <c r="K880" s="61"/>
      <c r="L880" s="61"/>
      <c r="M880" s="61"/>
      <c r="N880" s="61"/>
      <c r="O880" s="61"/>
      <c r="P880" s="61"/>
      <c r="Q880" s="61"/>
      <c r="R880" s="61"/>
      <c r="S880" s="61"/>
      <c r="T880" s="61"/>
      <c r="U880" s="61"/>
      <c r="V880" s="61"/>
      <c r="W880" s="61"/>
      <c r="X880" s="61"/>
      <c r="Y880" s="61"/>
      <c r="Z880" s="61"/>
    </row>
    <row r="881" spans="1:26" ht="13">
      <c r="A881" s="61"/>
      <c r="B881" s="61"/>
      <c r="C881" s="61"/>
      <c r="D881" s="61"/>
      <c r="E881" s="61"/>
      <c r="F881" s="61"/>
      <c r="G881" s="179"/>
      <c r="H881" s="61"/>
      <c r="I881" s="61"/>
      <c r="J881" s="61"/>
      <c r="K881" s="61"/>
      <c r="L881" s="61"/>
      <c r="M881" s="61"/>
      <c r="N881" s="61"/>
      <c r="O881" s="61"/>
      <c r="P881" s="61"/>
      <c r="Q881" s="61"/>
      <c r="R881" s="61"/>
      <c r="S881" s="61"/>
      <c r="T881" s="61"/>
      <c r="U881" s="61"/>
      <c r="V881" s="61"/>
      <c r="W881" s="61"/>
      <c r="X881" s="61"/>
      <c r="Y881" s="61"/>
      <c r="Z881" s="61"/>
    </row>
    <row r="882" spans="1:26" ht="13">
      <c r="A882" s="61"/>
      <c r="B882" s="61"/>
      <c r="C882" s="61"/>
      <c r="D882" s="61"/>
      <c r="E882" s="61"/>
      <c r="F882" s="61"/>
      <c r="G882" s="179"/>
      <c r="H882" s="61"/>
      <c r="I882" s="61"/>
      <c r="J882" s="61"/>
      <c r="K882" s="61"/>
      <c r="L882" s="61"/>
      <c r="M882" s="61"/>
      <c r="N882" s="61"/>
      <c r="O882" s="61"/>
      <c r="P882" s="61"/>
      <c r="Q882" s="61"/>
      <c r="R882" s="61"/>
      <c r="S882" s="61"/>
      <c r="T882" s="61"/>
      <c r="U882" s="61"/>
      <c r="V882" s="61"/>
      <c r="W882" s="61"/>
      <c r="X882" s="61"/>
      <c r="Y882" s="61"/>
      <c r="Z882" s="61"/>
    </row>
    <row r="883" spans="1:26" ht="13">
      <c r="A883" s="61"/>
      <c r="B883" s="61"/>
      <c r="C883" s="61"/>
      <c r="D883" s="61"/>
      <c r="E883" s="61"/>
      <c r="F883" s="61"/>
      <c r="G883" s="179"/>
      <c r="H883" s="61"/>
      <c r="I883" s="61"/>
      <c r="J883" s="61"/>
      <c r="K883" s="61"/>
      <c r="L883" s="61"/>
      <c r="M883" s="61"/>
      <c r="N883" s="61"/>
      <c r="O883" s="61"/>
      <c r="P883" s="61"/>
      <c r="Q883" s="61"/>
      <c r="R883" s="61"/>
      <c r="S883" s="61"/>
      <c r="T883" s="61"/>
      <c r="U883" s="61"/>
      <c r="V883" s="61"/>
      <c r="W883" s="61"/>
      <c r="X883" s="61"/>
      <c r="Y883" s="61"/>
      <c r="Z883" s="61"/>
    </row>
    <row r="884" spans="1:26" ht="13">
      <c r="A884" s="61"/>
      <c r="B884" s="61"/>
      <c r="C884" s="61"/>
      <c r="D884" s="61"/>
      <c r="E884" s="61"/>
      <c r="F884" s="61"/>
      <c r="G884" s="179"/>
      <c r="H884" s="61"/>
      <c r="I884" s="61"/>
      <c r="J884" s="61"/>
      <c r="K884" s="61"/>
      <c r="L884" s="61"/>
      <c r="M884" s="61"/>
      <c r="N884" s="61"/>
      <c r="O884" s="61"/>
      <c r="P884" s="61"/>
      <c r="Q884" s="61"/>
      <c r="R884" s="61"/>
      <c r="S884" s="61"/>
      <c r="T884" s="61"/>
      <c r="U884" s="61"/>
      <c r="V884" s="61"/>
      <c r="W884" s="61"/>
      <c r="X884" s="61"/>
      <c r="Y884" s="61"/>
      <c r="Z884" s="61"/>
    </row>
    <row r="885" spans="1:26" ht="13">
      <c r="A885" s="61"/>
      <c r="B885" s="61"/>
      <c r="C885" s="61"/>
      <c r="D885" s="61"/>
      <c r="E885" s="61"/>
      <c r="F885" s="61"/>
      <c r="G885" s="179"/>
      <c r="H885" s="61"/>
      <c r="I885" s="61"/>
      <c r="J885" s="61"/>
      <c r="K885" s="61"/>
      <c r="L885" s="61"/>
      <c r="M885" s="61"/>
      <c r="N885" s="61"/>
      <c r="O885" s="61"/>
      <c r="P885" s="61"/>
      <c r="Q885" s="61"/>
      <c r="R885" s="61"/>
      <c r="S885" s="61"/>
      <c r="T885" s="61"/>
      <c r="U885" s="61"/>
      <c r="V885" s="61"/>
      <c r="W885" s="61"/>
      <c r="X885" s="61"/>
      <c r="Y885" s="61"/>
      <c r="Z885" s="61"/>
    </row>
    <row r="886" spans="1:26" ht="13">
      <c r="A886" s="61"/>
      <c r="B886" s="61"/>
      <c r="C886" s="61"/>
      <c r="D886" s="61"/>
      <c r="E886" s="61"/>
      <c r="F886" s="61"/>
      <c r="G886" s="179"/>
      <c r="H886" s="61"/>
      <c r="I886" s="61"/>
      <c r="J886" s="61"/>
      <c r="K886" s="61"/>
      <c r="L886" s="61"/>
      <c r="M886" s="61"/>
      <c r="N886" s="61"/>
      <c r="O886" s="61"/>
      <c r="P886" s="61"/>
      <c r="Q886" s="61"/>
      <c r="R886" s="61"/>
      <c r="S886" s="61"/>
      <c r="T886" s="61"/>
      <c r="U886" s="61"/>
      <c r="V886" s="61"/>
      <c r="W886" s="61"/>
      <c r="X886" s="61"/>
      <c r="Y886" s="61"/>
      <c r="Z886" s="61"/>
    </row>
    <row r="887" spans="1:26" ht="13">
      <c r="A887" s="61"/>
      <c r="B887" s="61"/>
      <c r="C887" s="61"/>
      <c r="D887" s="61"/>
      <c r="E887" s="61"/>
      <c r="F887" s="61"/>
      <c r="G887" s="179"/>
      <c r="H887" s="61"/>
      <c r="I887" s="61"/>
      <c r="J887" s="61"/>
      <c r="K887" s="61"/>
      <c r="L887" s="61"/>
      <c r="M887" s="61"/>
      <c r="N887" s="61"/>
      <c r="O887" s="61"/>
      <c r="P887" s="61"/>
      <c r="Q887" s="61"/>
      <c r="R887" s="61"/>
      <c r="S887" s="61"/>
      <c r="T887" s="61"/>
      <c r="U887" s="61"/>
      <c r="V887" s="61"/>
      <c r="W887" s="61"/>
      <c r="X887" s="61"/>
      <c r="Y887" s="61"/>
      <c r="Z887" s="61"/>
    </row>
    <row r="888" spans="1:26" ht="13">
      <c r="A888" s="61"/>
      <c r="B888" s="61"/>
      <c r="C888" s="61"/>
      <c r="D888" s="61"/>
      <c r="E888" s="61"/>
      <c r="F888" s="61"/>
      <c r="G888" s="179"/>
      <c r="H888" s="61"/>
      <c r="I888" s="61"/>
      <c r="J888" s="61"/>
      <c r="K888" s="61"/>
      <c r="L888" s="61"/>
      <c r="M888" s="61"/>
      <c r="N888" s="61"/>
      <c r="O888" s="61"/>
      <c r="P888" s="61"/>
      <c r="Q888" s="61"/>
      <c r="R888" s="61"/>
      <c r="S888" s="61"/>
      <c r="T888" s="61"/>
      <c r="U888" s="61"/>
      <c r="V888" s="61"/>
      <c r="W888" s="61"/>
      <c r="X888" s="61"/>
      <c r="Y888" s="61"/>
      <c r="Z888" s="61"/>
    </row>
    <row r="889" spans="1:26" ht="13">
      <c r="A889" s="61"/>
      <c r="B889" s="61"/>
      <c r="C889" s="61"/>
      <c r="D889" s="61"/>
      <c r="E889" s="61"/>
      <c r="F889" s="61"/>
      <c r="G889" s="179"/>
      <c r="H889" s="61"/>
      <c r="I889" s="61"/>
      <c r="J889" s="61"/>
      <c r="K889" s="61"/>
      <c r="L889" s="61"/>
      <c r="M889" s="61"/>
      <c r="N889" s="61"/>
      <c r="O889" s="61"/>
      <c r="P889" s="61"/>
      <c r="Q889" s="61"/>
      <c r="R889" s="61"/>
      <c r="S889" s="61"/>
      <c r="T889" s="61"/>
      <c r="U889" s="61"/>
      <c r="V889" s="61"/>
      <c r="W889" s="61"/>
      <c r="X889" s="61"/>
      <c r="Y889" s="61"/>
      <c r="Z889" s="61"/>
    </row>
    <row r="890" spans="1:26" ht="13">
      <c r="A890" s="61"/>
      <c r="B890" s="61"/>
      <c r="C890" s="61"/>
      <c r="D890" s="61"/>
      <c r="E890" s="61"/>
      <c r="F890" s="61"/>
      <c r="G890" s="179"/>
      <c r="H890" s="61"/>
      <c r="I890" s="61"/>
      <c r="J890" s="61"/>
      <c r="K890" s="61"/>
      <c r="L890" s="61"/>
      <c r="M890" s="61"/>
      <c r="N890" s="61"/>
      <c r="O890" s="61"/>
      <c r="P890" s="61"/>
      <c r="Q890" s="61"/>
      <c r="R890" s="61"/>
      <c r="S890" s="61"/>
      <c r="T890" s="61"/>
      <c r="U890" s="61"/>
      <c r="V890" s="61"/>
      <c r="W890" s="61"/>
      <c r="X890" s="61"/>
      <c r="Y890" s="61"/>
      <c r="Z890" s="61"/>
    </row>
    <row r="891" spans="1:26" ht="13">
      <c r="A891" s="61"/>
      <c r="B891" s="61"/>
      <c r="C891" s="61"/>
      <c r="D891" s="61"/>
      <c r="E891" s="61"/>
      <c r="F891" s="61"/>
      <c r="G891" s="179"/>
      <c r="H891" s="61"/>
      <c r="I891" s="61"/>
      <c r="J891" s="61"/>
      <c r="K891" s="61"/>
      <c r="L891" s="61"/>
      <c r="M891" s="61"/>
      <c r="N891" s="61"/>
      <c r="O891" s="61"/>
      <c r="P891" s="61"/>
      <c r="Q891" s="61"/>
      <c r="R891" s="61"/>
      <c r="S891" s="61"/>
      <c r="T891" s="61"/>
      <c r="U891" s="61"/>
      <c r="V891" s="61"/>
      <c r="W891" s="61"/>
      <c r="X891" s="61"/>
      <c r="Y891" s="61"/>
      <c r="Z891" s="61"/>
    </row>
    <row r="892" spans="1:26" ht="13">
      <c r="A892" s="61"/>
      <c r="B892" s="61"/>
      <c r="C892" s="61"/>
      <c r="D892" s="61"/>
      <c r="E892" s="61"/>
      <c r="F892" s="61"/>
      <c r="G892" s="179"/>
      <c r="H892" s="61"/>
      <c r="I892" s="61"/>
      <c r="J892" s="61"/>
      <c r="K892" s="61"/>
      <c r="L892" s="61"/>
      <c r="M892" s="61"/>
      <c r="N892" s="61"/>
      <c r="O892" s="61"/>
      <c r="P892" s="61"/>
      <c r="Q892" s="61"/>
      <c r="R892" s="61"/>
      <c r="S892" s="61"/>
      <c r="T892" s="61"/>
      <c r="U892" s="61"/>
      <c r="V892" s="61"/>
      <c r="W892" s="61"/>
      <c r="X892" s="61"/>
      <c r="Y892" s="61"/>
      <c r="Z892" s="61"/>
    </row>
    <row r="893" spans="1:26" ht="13">
      <c r="A893" s="61"/>
      <c r="B893" s="61"/>
      <c r="C893" s="61"/>
      <c r="D893" s="61"/>
      <c r="E893" s="61"/>
      <c r="F893" s="61"/>
      <c r="G893" s="179"/>
      <c r="H893" s="61"/>
      <c r="I893" s="61"/>
      <c r="J893" s="61"/>
      <c r="K893" s="61"/>
      <c r="L893" s="61"/>
      <c r="M893" s="61"/>
      <c r="N893" s="61"/>
      <c r="O893" s="61"/>
      <c r="P893" s="61"/>
      <c r="Q893" s="61"/>
      <c r="R893" s="61"/>
      <c r="S893" s="61"/>
      <c r="T893" s="61"/>
      <c r="U893" s="61"/>
      <c r="V893" s="61"/>
      <c r="W893" s="61"/>
      <c r="X893" s="61"/>
      <c r="Y893" s="61"/>
      <c r="Z893" s="61"/>
    </row>
    <row r="894" spans="1:26" ht="13">
      <c r="A894" s="61"/>
      <c r="B894" s="61"/>
      <c r="C894" s="61"/>
      <c r="D894" s="61"/>
      <c r="E894" s="61"/>
      <c r="F894" s="61"/>
      <c r="G894" s="179"/>
      <c r="H894" s="61"/>
      <c r="I894" s="61"/>
      <c r="J894" s="61"/>
      <c r="K894" s="61"/>
      <c r="L894" s="61"/>
      <c r="M894" s="61"/>
      <c r="N894" s="61"/>
      <c r="O894" s="61"/>
      <c r="P894" s="61"/>
      <c r="Q894" s="61"/>
      <c r="R894" s="61"/>
      <c r="S894" s="61"/>
      <c r="T894" s="61"/>
      <c r="U894" s="61"/>
      <c r="V894" s="61"/>
      <c r="W894" s="61"/>
      <c r="X894" s="61"/>
      <c r="Y894" s="61"/>
      <c r="Z894" s="61"/>
    </row>
    <row r="895" spans="1:26" ht="13">
      <c r="A895" s="61"/>
      <c r="B895" s="61"/>
      <c r="C895" s="61"/>
      <c r="D895" s="61"/>
      <c r="E895" s="61"/>
      <c r="F895" s="61"/>
      <c r="G895" s="179"/>
      <c r="H895" s="61"/>
      <c r="I895" s="61"/>
      <c r="J895" s="61"/>
      <c r="K895" s="61"/>
      <c r="L895" s="61"/>
      <c r="M895" s="61"/>
      <c r="N895" s="61"/>
      <c r="O895" s="61"/>
      <c r="P895" s="61"/>
      <c r="Q895" s="61"/>
      <c r="R895" s="61"/>
      <c r="S895" s="61"/>
      <c r="T895" s="61"/>
      <c r="U895" s="61"/>
      <c r="V895" s="61"/>
      <c r="W895" s="61"/>
      <c r="X895" s="61"/>
      <c r="Y895" s="61"/>
      <c r="Z895" s="61"/>
    </row>
    <row r="896" spans="1:26" ht="13">
      <c r="A896" s="61"/>
      <c r="B896" s="61"/>
      <c r="C896" s="61"/>
      <c r="D896" s="61"/>
      <c r="E896" s="61"/>
      <c r="F896" s="61"/>
      <c r="G896" s="179"/>
      <c r="H896" s="61"/>
      <c r="I896" s="61"/>
      <c r="J896" s="61"/>
      <c r="K896" s="61"/>
      <c r="L896" s="61"/>
      <c r="M896" s="61"/>
      <c r="N896" s="61"/>
      <c r="O896" s="61"/>
      <c r="P896" s="61"/>
      <c r="Q896" s="61"/>
      <c r="R896" s="61"/>
      <c r="S896" s="61"/>
      <c r="T896" s="61"/>
      <c r="U896" s="61"/>
      <c r="V896" s="61"/>
      <c r="W896" s="61"/>
      <c r="X896" s="61"/>
      <c r="Y896" s="61"/>
      <c r="Z896" s="61"/>
    </row>
    <row r="897" spans="1:26" ht="13">
      <c r="A897" s="61"/>
      <c r="B897" s="61"/>
      <c r="C897" s="61"/>
      <c r="D897" s="61"/>
      <c r="E897" s="61"/>
      <c r="F897" s="61"/>
      <c r="G897" s="179"/>
      <c r="H897" s="61"/>
      <c r="I897" s="61"/>
      <c r="J897" s="61"/>
      <c r="K897" s="61"/>
      <c r="L897" s="61"/>
      <c r="M897" s="61"/>
      <c r="N897" s="61"/>
      <c r="O897" s="61"/>
      <c r="P897" s="61"/>
      <c r="Q897" s="61"/>
      <c r="R897" s="61"/>
      <c r="S897" s="61"/>
      <c r="T897" s="61"/>
      <c r="U897" s="61"/>
      <c r="V897" s="61"/>
      <c r="W897" s="61"/>
      <c r="X897" s="61"/>
      <c r="Y897" s="61"/>
      <c r="Z897" s="61"/>
    </row>
    <row r="898" spans="1:26" ht="13">
      <c r="A898" s="61"/>
      <c r="B898" s="61"/>
      <c r="C898" s="61"/>
      <c r="D898" s="61"/>
      <c r="E898" s="61"/>
      <c r="F898" s="61"/>
      <c r="G898" s="179"/>
      <c r="H898" s="61"/>
      <c r="I898" s="61"/>
      <c r="J898" s="61"/>
      <c r="K898" s="61"/>
      <c r="L898" s="61"/>
      <c r="M898" s="61"/>
      <c r="N898" s="61"/>
      <c r="O898" s="61"/>
      <c r="P898" s="61"/>
      <c r="Q898" s="61"/>
      <c r="R898" s="61"/>
      <c r="S898" s="61"/>
      <c r="T898" s="61"/>
      <c r="U898" s="61"/>
      <c r="V898" s="61"/>
      <c r="W898" s="61"/>
      <c r="X898" s="61"/>
      <c r="Y898" s="61"/>
      <c r="Z898" s="61"/>
    </row>
    <row r="899" spans="1:26" ht="13">
      <c r="A899" s="61"/>
      <c r="B899" s="61"/>
      <c r="C899" s="61"/>
      <c r="D899" s="61"/>
      <c r="E899" s="61"/>
      <c r="F899" s="61"/>
      <c r="G899" s="179"/>
      <c r="H899" s="61"/>
      <c r="I899" s="61"/>
      <c r="J899" s="61"/>
      <c r="K899" s="61"/>
      <c r="L899" s="61"/>
      <c r="M899" s="61"/>
      <c r="N899" s="61"/>
      <c r="O899" s="61"/>
      <c r="P899" s="61"/>
      <c r="Q899" s="61"/>
      <c r="R899" s="61"/>
      <c r="S899" s="61"/>
      <c r="T899" s="61"/>
      <c r="U899" s="61"/>
      <c r="V899" s="61"/>
      <c r="W899" s="61"/>
      <c r="X899" s="61"/>
      <c r="Y899" s="61"/>
      <c r="Z899" s="61"/>
    </row>
    <row r="900" spans="1:26" ht="13">
      <c r="A900" s="61"/>
      <c r="B900" s="61"/>
      <c r="C900" s="61"/>
      <c r="D900" s="61"/>
      <c r="E900" s="61"/>
      <c r="F900" s="61"/>
      <c r="G900" s="179"/>
      <c r="H900" s="61"/>
      <c r="I900" s="61"/>
      <c r="J900" s="61"/>
      <c r="K900" s="61"/>
      <c r="L900" s="61"/>
      <c r="M900" s="61"/>
      <c r="N900" s="61"/>
      <c r="O900" s="61"/>
      <c r="P900" s="61"/>
      <c r="Q900" s="61"/>
      <c r="R900" s="61"/>
      <c r="S900" s="61"/>
      <c r="T900" s="61"/>
      <c r="U900" s="61"/>
      <c r="V900" s="61"/>
      <c r="W900" s="61"/>
      <c r="X900" s="61"/>
      <c r="Y900" s="61"/>
      <c r="Z900" s="61"/>
    </row>
    <row r="901" spans="1:26" ht="13">
      <c r="A901" s="61"/>
      <c r="B901" s="61"/>
      <c r="C901" s="61"/>
      <c r="D901" s="61"/>
      <c r="E901" s="61"/>
      <c r="F901" s="61"/>
      <c r="G901" s="179"/>
      <c r="H901" s="61"/>
      <c r="I901" s="61"/>
      <c r="J901" s="61"/>
      <c r="K901" s="61"/>
      <c r="L901" s="61"/>
      <c r="M901" s="61"/>
      <c r="N901" s="61"/>
      <c r="O901" s="61"/>
      <c r="P901" s="61"/>
      <c r="Q901" s="61"/>
      <c r="R901" s="61"/>
      <c r="S901" s="61"/>
      <c r="T901" s="61"/>
      <c r="U901" s="61"/>
      <c r="V901" s="61"/>
      <c r="W901" s="61"/>
      <c r="X901" s="61"/>
      <c r="Y901" s="61"/>
      <c r="Z901" s="61"/>
    </row>
    <row r="902" spans="1:26" ht="13">
      <c r="A902" s="61"/>
      <c r="B902" s="61"/>
      <c r="C902" s="61"/>
      <c r="D902" s="61"/>
      <c r="E902" s="61"/>
      <c r="F902" s="61"/>
      <c r="G902" s="179"/>
      <c r="H902" s="61"/>
      <c r="I902" s="61"/>
      <c r="J902" s="61"/>
      <c r="K902" s="61"/>
      <c r="L902" s="61"/>
      <c r="M902" s="61"/>
      <c r="N902" s="61"/>
      <c r="O902" s="61"/>
      <c r="P902" s="61"/>
      <c r="Q902" s="61"/>
      <c r="R902" s="61"/>
      <c r="S902" s="61"/>
      <c r="T902" s="61"/>
      <c r="U902" s="61"/>
      <c r="V902" s="61"/>
      <c r="W902" s="61"/>
      <c r="X902" s="61"/>
      <c r="Y902" s="61"/>
      <c r="Z902" s="61"/>
    </row>
    <row r="903" spans="1:26" ht="13">
      <c r="A903" s="61"/>
      <c r="B903" s="61"/>
      <c r="C903" s="61"/>
      <c r="D903" s="61"/>
      <c r="E903" s="61"/>
      <c r="F903" s="61"/>
      <c r="G903" s="179"/>
      <c r="H903" s="61"/>
      <c r="I903" s="61"/>
      <c r="J903" s="61"/>
      <c r="K903" s="61"/>
      <c r="L903" s="61"/>
      <c r="M903" s="61"/>
      <c r="N903" s="61"/>
      <c r="O903" s="61"/>
      <c r="P903" s="61"/>
      <c r="Q903" s="61"/>
      <c r="R903" s="61"/>
      <c r="S903" s="61"/>
      <c r="T903" s="61"/>
      <c r="U903" s="61"/>
      <c r="V903" s="61"/>
      <c r="W903" s="61"/>
      <c r="X903" s="61"/>
      <c r="Y903" s="61"/>
      <c r="Z903" s="61"/>
    </row>
    <row r="904" spans="1:26" ht="13">
      <c r="A904" s="61"/>
      <c r="B904" s="61"/>
      <c r="C904" s="61"/>
      <c r="D904" s="61"/>
      <c r="E904" s="61"/>
      <c r="F904" s="61"/>
      <c r="G904" s="179"/>
      <c r="H904" s="61"/>
      <c r="I904" s="61"/>
      <c r="J904" s="61"/>
      <c r="K904" s="61"/>
      <c r="L904" s="61"/>
      <c r="M904" s="61"/>
      <c r="N904" s="61"/>
      <c r="O904" s="61"/>
      <c r="P904" s="61"/>
      <c r="Q904" s="61"/>
      <c r="R904" s="61"/>
      <c r="S904" s="61"/>
      <c r="T904" s="61"/>
      <c r="U904" s="61"/>
      <c r="V904" s="61"/>
      <c r="W904" s="61"/>
      <c r="X904" s="61"/>
      <c r="Y904" s="61"/>
      <c r="Z904" s="61"/>
    </row>
    <row r="905" spans="1:26" ht="13">
      <c r="A905" s="61"/>
      <c r="B905" s="61"/>
      <c r="C905" s="61"/>
      <c r="D905" s="61"/>
      <c r="E905" s="61"/>
      <c r="F905" s="61"/>
      <c r="G905" s="179"/>
      <c r="H905" s="61"/>
      <c r="I905" s="61"/>
      <c r="J905" s="61"/>
      <c r="K905" s="61"/>
      <c r="L905" s="61"/>
      <c r="M905" s="61"/>
      <c r="N905" s="61"/>
      <c r="O905" s="61"/>
      <c r="P905" s="61"/>
      <c r="Q905" s="61"/>
      <c r="R905" s="61"/>
      <c r="S905" s="61"/>
      <c r="T905" s="61"/>
      <c r="U905" s="61"/>
      <c r="V905" s="61"/>
      <c r="W905" s="61"/>
      <c r="X905" s="61"/>
      <c r="Y905" s="61"/>
      <c r="Z905" s="61"/>
    </row>
    <row r="906" spans="1:26" ht="13">
      <c r="A906" s="61"/>
      <c r="B906" s="61"/>
      <c r="C906" s="61"/>
      <c r="D906" s="61"/>
      <c r="E906" s="61"/>
      <c r="F906" s="61"/>
      <c r="G906" s="179"/>
      <c r="H906" s="61"/>
      <c r="I906" s="61"/>
      <c r="J906" s="61"/>
      <c r="K906" s="61"/>
      <c r="L906" s="61"/>
      <c r="M906" s="61"/>
      <c r="N906" s="61"/>
      <c r="O906" s="61"/>
      <c r="P906" s="61"/>
      <c r="Q906" s="61"/>
      <c r="R906" s="61"/>
      <c r="S906" s="61"/>
      <c r="T906" s="61"/>
      <c r="U906" s="61"/>
      <c r="V906" s="61"/>
      <c r="W906" s="61"/>
      <c r="X906" s="61"/>
      <c r="Y906" s="61"/>
      <c r="Z906" s="61"/>
    </row>
    <row r="907" spans="1:26" ht="13">
      <c r="A907" s="61"/>
      <c r="B907" s="61"/>
      <c r="C907" s="61"/>
      <c r="D907" s="61"/>
      <c r="E907" s="61"/>
      <c r="F907" s="61"/>
      <c r="G907" s="179"/>
      <c r="H907" s="61"/>
      <c r="I907" s="61"/>
      <c r="J907" s="61"/>
      <c r="K907" s="61"/>
      <c r="L907" s="61"/>
      <c r="M907" s="61"/>
      <c r="N907" s="61"/>
      <c r="O907" s="61"/>
      <c r="P907" s="61"/>
      <c r="Q907" s="61"/>
      <c r="R907" s="61"/>
      <c r="S907" s="61"/>
      <c r="T907" s="61"/>
      <c r="U907" s="61"/>
      <c r="V907" s="61"/>
      <c r="W907" s="61"/>
      <c r="X907" s="61"/>
      <c r="Y907" s="61"/>
      <c r="Z907" s="61"/>
    </row>
    <row r="908" spans="1:26" ht="13">
      <c r="A908" s="61"/>
      <c r="B908" s="61"/>
      <c r="C908" s="61"/>
      <c r="D908" s="61"/>
      <c r="E908" s="61"/>
      <c r="F908" s="61"/>
      <c r="G908" s="179"/>
      <c r="H908" s="61"/>
      <c r="I908" s="61"/>
      <c r="J908" s="61"/>
      <c r="K908" s="61"/>
      <c r="L908" s="61"/>
      <c r="M908" s="61"/>
      <c r="N908" s="61"/>
      <c r="O908" s="61"/>
      <c r="P908" s="61"/>
      <c r="Q908" s="61"/>
      <c r="R908" s="61"/>
      <c r="S908" s="61"/>
      <c r="T908" s="61"/>
      <c r="U908" s="61"/>
      <c r="V908" s="61"/>
      <c r="W908" s="61"/>
      <c r="X908" s="61"/>
      <c r="Y908" s="61"/>
      <c r="Z908" s="61"/>
    </row>
    <row r="909" spans="1:26" ht="13">
      <c r="A909" s="61"/>
      <c r="B909" s="61"/>
      <c r="C909" s="61"/>
      <c r="D909" s="61"/>
      <c r="E909" s="61"/>
      <c r="F909" s="61"/>
      <c r="G909" s="179"/>
      <c r="H909" s="61"/>
      <c r="I909" s="61"/>
      <c r="J909" s="61"/>
      <c r="K909" s="61"/>
      <c r="L909" s="61"/>
      <c r="M909" s="61"/>
      <c r="N909" s="61"/>
      <c r="O909" s="61"/>
      <c r="P909" s="61"/>
      <c r="Q909" s="61"/>
      <c r="R909" s="61"/>
      <c r="S909" s="61"/>
      <c r="T909" s="61"/>
      <c r="U909" s="61"/>
      <c r="V909" s="61"/>
      <c r="W909" s="61"/>
      <c r="X909" s="61"/>
      <c r="Y909" s="61"/>
      <c r="Z909" s="61"/>
    </row>
    <row r="910" spans="1:26" ht="13">
      <c r="A910" s="61"/>
      <c r="B910" s="61"/>
      <c r="C910" s="61"/>
      <c r="D910" s="61"/>
      <c r="E910" s="61"/>
      <c r="F910" s="61"/>
      <c r="G910" s="179"/>
      <c r="H910" s="61"/>
      <c r="I910" s="61"/>
      <c r="J910" s="61"/>
      <c r="K910" s="61"/>
      <c r="L910" s="61"/>
      <c r="M910" s="61"/>
      <c r="N910" s="61"/>
      <c r="O910" s="61"/>
      <c r="P910" s="61"/>
      <c r="Q910" s="61"/>
      <c r="R910" s="61"/>
      <c r="S910" s="61"/>
      <c r="T910" s="61"/>
      <c r="U910" s="61"/>
      <c r="V910" s="61"/>
      <c r="W910" s="61"/>
      <c r="X910" s="61"/>
      <c r="Y910" s="61"/>
      <c r="Z910" s="61"/>
    </row>
    <row r="911" spans="1:26" ht="13">
      <c r="A911" s="61"/>
      <c r="B911" s="61"/>
      <c r="C911" s="61"/>
      <c r="D911" s="61"/>
      <c r="E911" s="61"/>
      <c r="F911" s="61"/>
      <c r="G911" s="179"/>
      <c r="H911" s="61"/>
      <c r="I911" s="61"/>
      <c r="J911" s="61"/>
      <c r="K911" s="61"/>
      <c r="L911" s="61"/>
      <c r="M911" s="61"/>
      <c r="N911" s="61"/>
      <c r="O911" s="61"/>
      <c r="P911" s="61"/>
      <c r="Q911" s="61"/>
      <c r="R911" s="61"/>
      <c r="S911" s="61"/>
      <c r="T911" s="61"/>
      <c r="U911" s="61"/>
      <c r="V911" s="61"/>
      <c r="W911" s="61"/>
      <c r="X911" s="61"/>
      <c r="Y911" s="61"/>
      <c r="Z911" s="61"/>
    </row>
    <row r="912" spans="1:26" ht="13">
      <c r="A912" s="61"/>
      <c r="B912" s="61"/>
      <c r="C912" s="61"/>
      <c r="D912" s="61"/>
      <c r="E912" s="61"/>
      <c r="F912" s="61"/>
      <c r="G912" s="179"/>
      <c r="H912" s="61"/>
      <c r="I912" s="61"/>
      <c r="J912" s="61"/>
      <c r="K912" s="61"/>
      <c r="L912" s="61"/>
      <c r="M912" s="61"/>
      <c r="N912" s="61"/>
      <c r="O912" s="61"/>
      <c r="P912" s="61"/>
      <c r="Q912" s="61"/>
      <c r="R912" s="61"/>
      <c r="S912" s="61"/>
      <c r="T912" s="61"/>
      <c r="U912" s="61"/>
      <c r="V912" s="61"/>
      <c r="W912" s="61"/>
      <c r="X912" s="61"/>
      <c r="Y912" s="61"/>
      <c r="Z912" s="61"/>
    </row>
    <row r="913" spans="1:26" ht="13">
      <c r="A913" s="61"/>
      <c r="B913" s="61"/>
      <c r="C913" s="61"/>
      <c r="D913" s="61"/>
      <c r="E913" s="61"/>
      <c r="F913" s="61"/>
      <c r="G913" s="179"/>
      <c r="H913" s="61"/>
      <c r="I913" s="61"/>
      <c r="J913" s="61"/>
      <c r="K913" s="61"/>
      <c r="L913" s="61"/>
      <c r="M913" s="61"/>
      <c r="N913" s="61"/>
      <c r="O913" s="61"/>
      <c r="P913" s="61"/>
      <c r="Q913" s="61"/>
      <c r="R913" s="61"/>
      <c r="S913" s="61"/>
      <c r="T913" s="61"/>
      <c r="U913" s="61"/>
      <c r="V913" s="61"/>
      <c r="W913" s="61"/>
      <c r="X913" s="61"/>
      <c r="Y913" s="61"/>
      <c r="Z913" s="61"/>
    </row>
    <row r="914" spans="1:26" ht="13">
      <c r="A914" s="61"/>
      <c r="B914" s="61"/>
      <c r="C914" s="61"/>
      <c r="D914" s="61"/>
      <c r="E914" s="61"/>
      <c r="F914" s="61"/>
      <c r="G914" s="179"/>
      <c r="H914" s="61"/>
      <c r="I914" s="61"/>
      <c r="J914" s="61"/>
      <c r="K914" s="61"/>
      <c r="L914" s="61"/>
      <c r="M914" s="61"/>
      <c r="N914" s="61"/>
      <c r="O914" s="61"/>
      <c r="P914" s="61"/>
      <c r="Q914" s="61"/>
      <c r="R914" s="61"/>
      <c r="S914" s="61"/>
      <c r="T914" s="61"/>
      <c r="U914" s="61"/>
      <c r="V914" s="61"/>
      <c r="W914" s="61"/>
      <c r="X914" s="61"/>
      <c r="Y914" s="61"/>
      <c r="Z914" s="61"/>
    </row>
    <row r="915" spans="1:26" ht="13">
      <c r="A915" s="61"/>
      <c r="B915" s="61"/>
      <c r="C915" s="61"/>
      <c r="D915" s="61"/>
      <c r="E915" s="61"/>
      <c r="F915" s="61"/>
      <c r="G915" s="179"/>
      <c r="H915" s="61"/>
      <c r="I915" s="61"/>
      <c r="J915" s="61"/>
      <c r="K915" s="61"/>
      <c r="L915" s="61"/>
      <c r="M915" s="61"/>
      <c r="N915" s="61"/>
      <c r="O915" s="61"/>
      <c r="P915" s="61"/>
      <c r="Q915" s="61"/>
      <c r="R915" s="61"/>
      <c r="S915" s="61"/>
      <c r="T915" s="61"/>
      <c r="U915" s="61"/>
      <c r="V915" s="61"/>
      <c r="W915" s="61"/>
      <c r="X915" s="61"/>
      <c r="Y915" s="61"/>
      <c r="Z915" s="61"/>
    </row>
    <row r="916" spans="1:26" ht="13">
      <c r="A916" s="61"/>
      <c r="B916" s="61"/>
      <c r="C916" s="61"/>
      <c r="D916" s="61"/>
      <c r="E916" s="61"/>
      <c r="F916" s="61"/>
      <c r="G916" s="179"/>
      <c r="H916" s="61"/>
      <c r="I916" s="61"/>
      <c r="J916" s="61"/>
      <c r="K916" s="61"/>
      <c r="L916" s="61"/>
      <c r="M916" s="61"/>
      <c r="N916" s="61"/>
      <c r="O916" s="61"/>
      <c r="P916" s="61"/>
      <c r="Q916" s="61"/>
      <c r="R916" s="61"/>
      <c r="S916" s="61"/>
      <c r="T916" s="61"/>
      <c r="U916" s="61"/>
      <c r="V916" s="61"/>
      <c r="W916" s="61"/>
      <c r="X916" s="61"/>
      <c r="Y916" s="61"/>
      <c r="Z916" s="61"/>
    </row>
    <row r="917" spans="1:26" ht="13">
      <c r="A917" s="61"/>
      <c r="B917" s="61"/>
      <c r="C917" s="61"/>
      <c r="D917" s="61"/>
      <c r="E917" s="61"/>
      <c r="F917" s="61"/>
      <c r="G917" s="179"/>
      <c r="H917" s="61"/>
      <c r="I917" s="61"/>
      <c r="J917" s="61"/>
      <c r="K917" s="61"/>
      <c r="L917" s="61"/>
      <c r="M917" s="61"/>
      <c r="N917" s="61"/>
      <c r="O917" s="61"/>
      <c r="P917" s="61"/>
      <c r="Q917" s="61"/>
      <c r="R917" s="61"/>
      <c r="S917" s="61"/>
      <c r="T917" s="61"/>
      <c r="U917" s="61"/>
      <c r="V917" s="61"/>
      <c r="W917" s="61"/>
      <c r="X917" s="61"/>
      <c r="Y917" s="61"/>
      <c r="Z917" s="61"/>
    </row>
    <row r="918" spans="1:26" ht="13">
      <c r="A918" s="61"/>
      <c r="B918" s="61"/>
      <c r="C918" s="61"/>
      <c r="D918" s="61"/>
      <c r="E918" s="61"/>
      <c r="F918" s="61"/>
      <c r="G918" s="179"/>
      <c r="H918" s="61"/>
      <c r="I918" s="61"/>
      <c r="J918" s="61"/>
      <c r="K918" s="61"/>
      <c r="L918" s="61"/>
      <c r="M918" s="61"/>
      <c r="N918" s="61"/>
      <c r="O918" s="61"/>
      <c r="P918" s="61"/>
      <c r="Q918" s="61"/>
      <c r="R918" s="61"/>
      <c r="S918" s="61"/>
      <c r="T918" s="61"/>
      <c r="U918" s="61"/>
      <c r="V918" s="61"/>
      <c r="W918" s="61"/>
      <c r="X918" s="61"/>
      <c r="Y918" s="61"/>
      <c r="Z918" s="61"/>
    </row>
    <row r="919" spans="1:26" ht="13">
      <c r="A919" s="61"/>
      <c r="B919" s="61"/>
      <c r="C919" s="61"/>
      <c r="D919" s="61"/>
      <c r="E919" s="61"/>
      <c r="F919" s="61"/>
      <c r="G919" s="179"/>
      <c r="H919" s="61"/>
      <c r="I919" s="61"/>
      <c r="J919" s="61"/>
      <c r="K919" s="61"/>
      <c r="L919" s="61"/>
      <c r="M919" s="61"/>
      <c r="N919" s="61"/>
      <c r="O919" s="61"/>
      <c r="P919" s="61"/>
      <c r="Q919" s="61"/>
      <c r="R919" s="61"/>
      <c r="S919" s="61"/>
      <c r="T919" s="61"/>
      <c r="U919" s="61"/>
      <c r="V919" s="61"/>
      <c r="W919" s="61"/>
      <c r="X919" s="61"/>
      <c r="Y919" s="61"/>
      <c r="Z919" s="61"/>
    </row>
    <row r="920" spans="1:26" ht="13">
      <c r="A920" s="61"/>
      <c r="B920" s="61"/>
      <c r="C920" s="61"/>
      <c r="D920" s="61"/>
      <c r="E920" s="61"/>
      <c r="F920" s="61"/>
      <c r="G920" s="179"/>
      <c r="H920" s="61"/>
      <c r="I920" s="61"/>
      <c r="J920" s="61"/>
      <c r="K920" s="61"/>
      <c r="L920" s="61"/>
      <c r="M920" s="61"/>
      <c r="N920" s="61"/>
      <c r="O920" s="61"/>
      <c r="P920" s="61"/>
      <c r="Q920" s="61"/>
      <c r="R920" s="61"/>
      <c r="S920" s="61"/>
      <c r="T920" s="61"/>
      <c r="U920" s="61"/>
      <c r="V920" s="61"/>
      <c r="W920" s="61"/>
      <c r="X920" s="61"/>
      <c r="Y920" s="61"/>
      <c r="Z920" s="61"/>
    </row>
    <row r="921" spans="1:26" ht="13">
      <c r="A921" s="61"/>
      <c r="B921" s="61"/>
      <c r="C921" s="61"/>
      <c r="D921" s="61"/>
      <c r="E921" s="61"/>
      <c r="F921" s="61"/>
      <c r="G921" s="179"/>
      <c r="H921" s="61"/>
      <c r="I921" s="61"/>
      <c r="J921" s="61"/>
      <c r="K921" s="61"/>
      <c r="L921" s="61"/>
      <c r="M921" s="61"/>
      <c r="N921" s="61"/>
      <c r="O921" s="61"/>
      <c r="P921" s="61"/>
      <c r="Q921" s="61"/>
      <c r="R921" s="61"/>
      <c r="S921" s="61"/>
      <c r="T921" s="61"/>
      <c r="U921" s="61"/>
      <c r="V921" s="61"/>
      <c r="W921" s="61"/>
      <c r="X921" s="61"/>
      <c r="Y921" s="61"/>
      <c r="Z921" s="61"/>
    </row>
    <row r="922" spans="1:26" ht="13">
      <c r="A922" s="61"/>
      <c r="B922" s="61"/>
      <c r="C922" s="61"/>
      <c r="D922" s="61"/>
      <c r="E922" s="61"/>
      <c r="F922" s="61"/>
      <c r="G922" s="179"/>
      <c r="H922" s="61"/>
      <c r="I922" s="61"/>
      <c r="J922" s="61"/>
      <c r="K922" s="61"/>
      <c r="L922" s="61"/>
      <c r="M922" s="61"/>
      <c r="N922" s="61"/>
      <c r="O922" s="61"/>
      <c r="P922" s="61"/>
      <c r="Q922" s="61"/>
      <c r="R922" s="61"/>
      <c r="S922" s="61"/>
      <c r="T922" s="61"/>
      <c r="U922" s="61"/>
      <c r="V922" s="61"/>
      <c r="W922" s="61"/>
      <c r="X922" s="61"/>
      <c r="Y922" s="61"/>
      <c r="Z922" s="61"/>
    </row>
    <row r="923" spans="1:26" ht="13">
      <c r="A923" s="61"/>
      <c r="B923" s="61"/>
      <c r="C923" s="61"/>
      <c r="D923" s="61"/>
      <c r="E923" s="61"/>
      <c r="F923" s="61"/>
      <c r="G923" s="179"/>
      <c r="H923" s="61"/>
      <c r="I923" s="61"/>
      <c r="J923" s="61"/>
      <c r="K923" s="61"/>
      <c r="L923" s="61"/>
      <c r="M923" s="61"/>
      <c r="N923" s="61"/>
      <c r="O923" s="61"/>
      <c r="P923" s="61"/>
      <c r="Q923" s="61"/>
      <c r="R923" s="61"/>
      <c r="S923" s="61"/>
      <c r="T923" s="61"/>
      <c r="U923" s="61"/>
      <c r="V923" s="61"/>
      <c r="W923" s="61"/>
      <c r="X923" s="61"/>
      <c r="Y923" s="61"/>
      <c r="Z923" s="61"/>
    </row>
    <row r="924" spans="1:26" ht="13">
      <c r="A924" s="61"/>
      <c r="B924" s="61"/>
      <c r="C924" s="61"/>
      <c r="D924" s="61"/>
      <c r="E924" s="61"/>
      <c r="F924" s="61"/>
      <c r="G924" s="179"/>
      <c r="H924" s="61"/>
      <c r="I924" s="61"/>
      <c r="J924" s="61"/>
      <c r="K924" s="61"/>
      <c r="L924" s="61"/>
      <c r="M924" s="61"/>
      <c r="N924" s="61"/>
      <c r="O924" s="61"/>
      <c r="P924" s="61"/>
      <c r="Q924" s="61"/>
      <c r="R924" s="61"/>
      <c r="S924" s="61"/>
      <c r="T924" s="61"/>
      <c r="U924" s="61"/>
      <c r="V924" s="61"/>
      <c r="W924" s="61"/>
      <c r="X924" s="61"/>
      <c r="Y924" s="61"/>
      <c r="Z924" s="61"/>
    </row>
    <row r="925" spans="1:26" ht="13">
      <c r="A925" s="61"/>
      <c r="B925" s="61"/>
      <c r="C925" s="61"/>
      <c r="D925" s="61"/>
      <c r="E925" s="61"/>
      <c r="F925" s="61"/>
      <c r="G925" s="179"/>
      <c r="H925" s="61"/>
      <c r="I925" s="61"/>
      <c r="J925" s="61"/>
      <c r="K925" s="61"/>
      <c r="L925" s="61"/>
      <c r="M925" s="61"/>
      <c r="N925" s="61"/>
      <c r="O925" s="61"/>
      <c r="P925" s="61"/>
      <c r="Q925" s="61"/>
      <c r="R925" s="61"/>
      <c r="S925" s="61"/>
      <c r="T925" s="61"/>
      <c r="U925" s="61"/>
      <c r="V925" s="61"/>
      <c r="W925" s="61"/>
      <c r="X925" s="61"/>
      <c r="Y925" s="61"/>
      <c r="Z925" s="61"/>
    </row>
    <row r="926" spans="1:26" ht="13">
      <c r="A926" s="61"/>
      <c r="B926" s="61"/>
      <c r="C926" s="61"/>
      <c r="D926" s="61"/>
      <c r="E926" s="61"/>
      <c r="F926" s="61"/>
      <c r="G926" s="179"/>
      <c r="H926" s="61"/>
      <c r="I926" s="61"/>
      <c r="J926" s="61"/>
      <c r="K926" s="61"/>
      <c r="L926" s="61"/>
      <c r="M926" s="61"/>
      <c r="N926" s="61"/>
      <c r="O926" s="61"/>
      <c r="P926" s="61"/>
      <c r="Q926" s="61"/>
      <c r="R926" s="61"/>
      <c r="S926" s="61"/>
      <c r="T926" s="61"/>
      <c r="U926" s="61"/>
      <c r="V926" s="61"/>
      <c r="W926" s="61"/>
      <c r="X926" s="61"/>
      <c r="Y926" s="61"/>
      <c r="Z926" s="61"/>
    </row>
    <row r="927" spans="1:26" ht="13">
      <c r="A927" s="61"/>
      <c r="B927" s="61"/>
      <c r="C927" s="61"/>
      <c r="D927" s="61"/>
      <c r="E927" s="61"/>
      <c r="F927" s="61"/>
      <c r="G927" s="179"/>
      <c r="H927" s="61"/>
      <c r="I927" s="61"/>
      <c r="J927" s="61"/>
      <c r="K927" s="61"/>
      <c r="L927" s="61"/>
      <c r="M927" s="61"/>
      <c r="N927" s="61"/>
      <c r="O927" s="61"/>
      <c r="P927" s="61"/>
      <c r="Q927" s="61"/>
      <c r="R927" s="61"/>
      <c r="S927" s="61"/>
      <c r="T927" s="61"/>
      <c r="U927" s="61"/>
      <c r="V927" s="61"/>
      <c r="W927" s="61"/>
      <c r="X927" s="61"/>
      <c r="Y927" s="61"/>
      <c r="Z927" s="61"/>
    </row>
    <row r="928" spans="1:26" ht="13">
      <c r="A928" s="61"/>
      <c r="B928" s="61"/>
      <c r="C928" s="61"/>
      <c r="D928" s="61"/>
      <c r="E928" s="61"/>
      <c r="F928" s="61"/>
      <c r="G928" s="179"/>
      <c r="H928" s="61"/>
      <c r="I928" s="61"/>
      <c r="J928" s="61"/>
      <c r="K928" s="61"/>
      <c r="L928" s="61"/>
      <c r="M928" s="61"/>
      <c r="N928" s="61"/>
      <c r="O928" s="61"/>
      <c r="P928" s="61"/>
      <c r="Q928" s="61"/>
      <c r="R928" s="61"/>
      <c r="S928" s="61"/>
      <c r="T928" s="61"/>
      <c r="U928" s="61"/>
      <c r="V928" s="61"/>
      <c r="W928" s="61"/>
      <c r="X928" s="61"/>
      <c r="Y928" s="61"/>
      <c r="Z928" s="61"/>
    </row>
    <row r="929" spans="1:26" ht="13">
      <c r="A929" s="61"/>
      <c r="B929" s="61"/>
      <c r="C929" s="61"/>
      <c r="D929" s="61"/>
      <c r="E929" s="61"/>
      <c r="F929" s="61"/>
      <c r="G929" s="179"/>
      <c r="H929" s="61"/>
      <c r="I929" s="61"/>
      <c r="J929" s="61"/>
      <c r="K929" s="61"/>
      <c r="L929" s="61"/>
      <c r="M929" s="61"/>
      <c r="N929" s="61"/>
      <c r="O929" s="61"/>
      <c r="P929" s="61"/>
      <c r="Q929" s="61"/>
      <c r="R929" s="61"/>
      <c r="S929" s="61"/>
      <c r="T929" s="61"/>
      <c r="U929" s="61"/>
      <c r="V929" s="61"/>
      <c r="W929" s="61"/>
      <c r="X929" s="61"/>
      <c r="Y929" s="61"/>
      <c r="Z929" s="61"/>
    </row>
    <row r="930" spans="1:26" ht="13">
      <c r="A930" s="61"/>
      <c r="B930" s="61"/>
      <c r="C930" s="61"/>
      <c r="D930" s="61"/>
      <c r="E930" s="61"/>
      <c r="F930" s="61"/>
      <c r="G930" s="179"/>
      <c r="H930" s="61"/>
      <c r="I930" s="61"/>
      <c r="J930" s="61"/>
      <c r="K930" s="61"/>
      <c r="L930" s="61"/>
      <c r="M930" s="61"/>
      <c r="N930" s="61"/>
      <c r="O930" s="61"/>
      <c r="P930" s="61"/>
      <c r="Q930" s="61"/>
      <c r="R930" s="61"/>
      <c r="S930" s="61"/>
      <c r="T930" s="61"/>
      <c r="U930" s="61"/>
      <c r="V930" s="61"/>
      <c r="W930" s="61"/>
      <c r="X930" s="61"/>
      <c r="Y930" s="61"/>
      <c r="Z930" s="61"/>
    </row>
    <row r="931" spans="1:26" ht="13">
      <c r="A931" s="61"/>
      <c r="B931" s="61"/>
      <c r="C931" s="61"/>
      <c r="D931" s="61"/>
      <c r="E931" s="61"/>
      <c r="F931" s="61"/>
      <c r="G931" s="179"/>
      <c r="H931" s="61"/>
      <c r="I931" s="61"/>
      <c r="J931" s="61"/>
      <c r="K931" s="61"/>
      <c r="L931" s="61"/>
      <c r="M931" s="61"/>
      <c r="N931" s="61"/>
      <c r="O931" s="61"/>
      <c r="P931" s="61"/>
      <c r="Q931" s="61"/>
      <c r="R931" s="61"/>
      <c r="S931" s="61"/>
      <c r="T931" s="61"/>
      <c r="U931" s="61"/>
      <c r="V931" s="61"/>
      <c r="W931" s="61"/>
      <c r="X931" s="61"/>
      <c r="Y931" s="61"/>
      <c r="Z931" s="61"/>
    </row>
    <row r="932" spans="1:26" ht="13">
      <c r="A932" s="61"/>
      <c r="B932" s="61"/>
      <c r="C932" s="61"/>
      <c r="D932" s="61"/>
      <c r="E932" s="61"/>
      <c r="F932" s="61"/>
      <c r="G932" s="179"/>
      <c r="H932" s="61"/>
      <c r="I932" s="61"/>
      <c r="J932" s="61"/>
      <c r="K932" s="61"/>
      <c r="L932" s="61"/>
      <c r="M932" s="61"/>
      <c r="N932" s="61"/>
      <c r="O932" s="61"/>
      <c r="P932" s="61"/>
      <c r="Q932" s="61"/>
      <c r="R932" s="61"/>
      <c r="S932" s="61"/>
      <c r="T932" s="61"/>
      <c r="U932" s="61"/>
      <c r="V932" s="61"/>
      <c r="W932" s="61"/>
      <c r="X932" s="61"/>
      <c r="Y932" s="61"/>
      <c r="Z932" s="61"/>
    </row>
    <row r="933" spans="1:26" ht="13">
      <c r="A933" s="61"/>
      <c r="B933" s="61"/>
      <c r="C933" s="61"/>
      <c r="D933" s="61"/>
      <c r="E933" s="61"/>
      <c r="F933" s="61"/>
      <c r="G933" s="179"/>
      <c r="H933" s="61"/>
      <c r="I933" s="61"/>
      <c r="J933" s="61"/>
      <c r="K933" s="61"/>
      <c r="L933" s="61"/>
      <c r="M933" s="61"/>
      <c r="N933" s="61"/>
      <c r="O933" s="61"/>
      <c r="P933" s="61"/>
      <c r="Q933" s="61"/>
      <c r="R933" s="61"/>
      <c r="S933" s="61"/>
      <c r="T933" s="61"/>
      <c r="U933" s="61"/>
      <c r="V933" s="61"/>
      <c r="W933" s="61"/>
      <c r="X933" s="61"/>
      <c r="Y933" s="61"/>
      <c r="Z933" s="61"/>
    </row>
    <row r="934" spans="1:26" ht="13">
      <c r="A934" s="61"/>
      <c r="B934" s="61"/>
      <c r="C934" s="61"/>
      <c r="D934" s="61"/>
      <c r="E934" s="61"/>
      <c r="F934" s="61"/>
      <c r="G934" s="179"/>
      <c r="H934" s="61"/>
      <c r="I934" s="61"/>
      <c r="J934" s="61"/>
      <c r="K934" s="61"/>
      <c r="L934" s="61"/>
      <c r="M934" s="61"/>
      <c r="N934" s="61"/>
      <c r="O934" s="61"/>
      <c r="P934" s="61"/>
      <c r="Q934" s="61"/>
      <c r="R934" s="61"/>
      <c r="S934" s="61"/>
      <c r="T934" s="61"/>
      <c r="U934" s="61"/>
      <c r="V934" s="61"/>
      <c r="W934" s="61"/>
      <c r="X934" s="61"/>
      <c r="Y934" s="61"/>
      <c r="Z934" s="61"/>
    </row>
    <row r="935" spans="1:26" ht="13">
      <c r="A935" s="61"/>
      <c r="B935" s="61"/>
      <c r="C935" s="61"/>
      <c r="D935" s="61"/>
      <c r="E935" s="61"/>
      <c r="F935" s="61"/>
      <c r="G935" s="179"/>
      <c r="H935" s="61"/>
      <c r="I935" s="61"/>
      <c r="J935" s="61"/>
      <c r="K935" s="61"/>
      <c r="L935" s="61"/>
      <c r="M935" s="61"/>
      <c r="N935" s="61"/>
      <c r="O935" s="61"/>
      <c r="P935" s="61"/>
      <c r="Q935" s="61"/>
      <c r="R935" s="61"/>
      <c r="S935" s="61"/>
      <c r="T935" s="61"/>
      <c r="U935" s="61"/>
      <c r="V935" s="61"/>
      <c r="W935" s="61"/>
      <c r="X935" s="61"/>
      <c r="Y935" s="61"/>
      <c r="Z935" s="61"/>
    </row>
    <row r="936" spans="1:26" ht="13">
      <c r="A936" s="61"/>
      <c r="B936" s="61"/>
      <c r="C936" s="61"/>
      <c r="D936" s="61"/>
      <c r="E936" s="61"/>
      <c r="F936" s="61"/>
      <c r="G936" s="179"/>
      <c r="H936" s="61"/>
      <c r="I936" s="61"/>
      <c r="J936" s="61"/>
      <c r="K936" s="61"/>
      <c r="L936" s="61"/>
      <c r="M936" s="61"/>
      <c r="N936" s="61"/>
      <c r="O936" s="61"/>
      <c r="P936" s="61"/>
      <c r="Q936" s="61"/>
      <c r="R936" s="61"/>
      <c r="S936" s="61"/>
      <c r="T936" s="61"/>
      <c r="U936" s="61"/>
      <c r="V936" s="61"/>
      <c r="W936" s="61"/>
      <c r="X936" s="61"/>
      <c r="Y936" s="61"/>
      <c r="Z936" s="61"/>
    </row>
    <row r="937" spans="1:26" ht="13">
      <c r="A937" s="61"/>
      <c r="B937" s="61"/>
      <c r="C937" s="61"/>
      <c r="D937" s="61"/>
      <c r="E937" s="61"/>
      <c r="F937" s="61"/>
      <c r="G937" s="179"/>
      <c r="H937" s="61"/>
      <c r="I937" s="61"/>
      <c r="J937" s="61"/>
      <c r="K937" s="61"/>
      <c r="L937" s="61"/>
      <c r="M937" s="61"/>
      <c r="N937" s="61"/>
      <c r="O937" s="61"/>
      <c r="P937" s="61"/>
      <c r="Q937" s="61"/>
      <c r="R937" s="61"/>
      <c r="S937" s="61"/>
      <c r="T937" s="61"/>
      <c r="U937" s="61"/>
      <c r="V937" s="61"/>
      <c r="W937" s="61"/>
      <c r="X937" s="61"/>
      <c r="Y937" s="61"/>
      <c r="Z937" s="61"/>
    </row>
    <row r="938" spans="1:26" ht="13">
      <c r="A938" s="61"/>
      <c r="B938" s="61"/>
      <c r="C938" s="61"/>
      <c r="D938" s="61"/>
      <c r="E938" s="61"/>
      <c r="F938" s="61"/>
      <c r="G938" s="179"/>
      <c r="H938" s="61"/>
      <c r="I938" s="61"/>
      <c r="J938" s="61"/>
      <c r="K938" s="61"/>
      <c r="L938" s="61"/>
      <c r="M938" s="61"/>
      <c r="N938" s="61"/>
      <c r="O938" s="61"/>
      <c r="P938" s="61"/>
      <c r="Q938" s="61"/>
      <c r="R938" s="61"/>
      <c r="S938" s="61"/>
      <c r="T938" s="61"/>
      <c r="U938" s="61"/>
      <c r="V938" s="61"/>
      <c r="W938" s="61"/>
      <c r="X938" s="61"/>
      <c r="Y938" s="61"/>
      <c r="Z938" s="61"/>
    </row>
    <row r="939" spans="1:26" ht="13">
      <c r="A939" s="61"/>
      <c r="B939" s="61"/>
      <c r="C939" s="61"/>
      <c r="D939" s="61"/>
      <c r="E939" s="61"/>
      <c r="F939" s="61"/>
      <c r="G939" s="179"/>
      <c r="H939" s="61"/>
      <c r="I939" s="61"/>
      <c r="J939" s="61"/>
      <c r="K939" s="61"/>
      <c r="L939" s="61"/>
      <c r="M939" s="61"/>
      <c r="N939" s="61"/>
      <c r="O939" s="61"/>
      <c r="P939" s="61"/>
      <c r="Q939" s="61"/>
      <c r="R939" s="61"/>
      <c r="S939" s="61"/>
      <c r="T939" s="61"/>
      <c r="U939" s="61"/>
      <c r="V939" s="61"/>
      <c r="W939" s="61"/>
      <c r="X939" s="61"/>
      <c r="Y939" s="61"/>
      <c r="Z939" s="61"/>
    </row>
    <row r="940" spans="1:26" ht="13">
      <c r="A940" s="61"/>
      <c r="B940" s="61"/>
      <c r="C940" s="61"/>
      <c r="D940" s="61"/>
      <c r="E940" s="61"/>
      <c r="F940" s="61"/>
      <c r="G940" s="179"/>
      <c r="H940" s="61"/>
      <c r="I940" s="61"/>
      <c r="J940" s="61"/>
      <c r="K940" s="61"/>
      <c r="L940" s="61"/>
      <c r="M940" s="61"/>
      <c r="N940" s="61"/>
      <c r="O940" s="61"/>
      <c r="P940" s="61"/>
      <c r="Q940" s="61"/>
      <c r="R940" s="61"/>
      <c r="S940" s="61"/>
      <c r="T940" s="61"/>
      <c r="U940" s="61"/>
      <c r="V940" s="61"/>
      <c r="W940" s="61"/>
      <c r="X940" s="61"/>
      <c r="Y940" s="61"/>
      <c r="Z940" s="61"/>
    </row>
    <row r="941" spans="1:26" ht="13">
      <c r="A941" s="61"/>
      <c r="B941" s="61"/>
      <c r="C941" s="61"/>
      <c r="D941" s="61"/>
      <c r="E941" s="61"/>
      <c r="F941" s="61"/>
      <c r="G941" s="179"/>
      <c r="H941" s="61"/>
      <c r="I941" s="61"/>
      <c r="J941" s="61"/>
      <c r="K941" s="61"/>
      <c r="L941" s="61"/>
      <c r="M941" s="61"/>
      <c r="N941" s="61"/>
      <c r="O941" s="61"/>
      <c r="P941" s="61"/>
      <c r="Q941" s="61"/>
      <c r="R941" s="61"/>
      <c r="S941" s="61"/>
      <c r="T941" s="61"/>
      <c r="U941" s="61"/>
      <c r="V941" s="61"/>
      <c r="W941" s="61"/>
      <c r="X941" s="61"/>
      <c r="Y941" s="61"/>
      <c r="Z941" s="61"/>
    </row>
    <row r="942" spans="1:26" ht="13">
      <c r="A942" s="61"/>
      <c r="B942" s="61"/>
      <c r="C942" s="61"/>
      <c r="D942" s="61"/>
      <c r="E942" s="61"/>
      <c r="F942" s="61"/>
      <c r="G942" s="179"/>
      <c r="H942" s="61"/>
      <c r="I942" s="61"/>
      <c r="J942" s="61"/>
      <c r="K942" s="61"/>
      <c r="L942" s="61"/>
      <c r="M942" s="61"/>
      <c r="N942" s="61"/>
      <c r="O942" s="61"/>
      <c r="P942" s="61"/>
      <c r="Q942" s="61"/>
      <c r="R942" s="61"/>
      <c r="S942" s="61"/>
      <c r="T942" s="61"/>
      <c r="U942" s="61"/>
      <c r="V942" s="61"/>
      <c r="W942" s="61"/>
      <c r="X942" s="61"/>
      <c r="Y942" s="61"/>
      <c r="Z942" s="61"/>
    </row>
    <row r="943" spans="1:26" ht="13">
      <c r="A943" s="61"/>
      <c r="B943" s="61"/>
      <c r="C943" s="61"/>
      <c r="D943" s="61"/>
      <c r="E943" s="61"/>
      <c r="F943" s="61"/>
      <c r="G943" s="179"/>
      <c r="H943" s="61"/>
      <c r="I943" s="61"/>
      <c r="J943" s="61"/>
      <c r="K943" s="61"/>
      <c r="L943" s="61"/>
      <c r="M943" s="61"/>
      <c r="N943" s="61"/>
      <c r="O943" s="61"/>
      <c r="P943" s="61"/>
      <c r="Q943" s="61"/>
      <c r="R943" s="61"/>
      <c r="S943" s="61"/>
      <c r="T943" s="61"/>
      <c r="U943" s="61"/>
      <c r="V943" s="61"/>
      <c r="W943" s="61"/>
      <c r="X943" s="61"/>
      <c r="Y943" s="61"/>
      <c r="Z943" s="61"/>
    </row>
    <row r="944" spans="1:26" ht="13">
      <c r="A944" s="61"/>
      <c r="B944" s="61"/>
      <c r="C944" s="61"/>
      <c r="D944" s="61"/>
      <c r="E944" s="61"/>
      <c r="F944" s="61"/>
      <c r="G944" s="179"/>
      <c r="H944" s="61"/>
      <c r="I944" s="61"/>
      <c r="J944" s="61"/>
      <c r="K944" s="61"/>
      <c r="L944" s="61"/>
      <c r="M944" s="61"/>
      <c r="N944" s="61"/>
      <c r="O944" s="61"/>
      <c r="P944" s="61"/>
      <c r="Q944" s="61"/>
      <c r="R944" s="61"/>
      <c r="S944" s="61"/>
      <c r="T944" s="61"/>
      <c r="U944" s="61"/>
      <c r="V944" s="61"/>
      <c r="W944" s="61"/>
      <c r="X944" s="61"/>
      <c r="Y944" s="61"/>
      <c r="Z944" s="61"/>
    </row>
    <row r="945" spans="1:26" ht="13">
      <c r="A945" s="61"/>
      <c r="B945" s="61"/>
      <c r="C945" s="61"/>
      <c r="D945" s="61"/>
      <c r="E945" s="61"/>
      <c r="F945" s="61"/>
      <c r="G945" s="179"/>
      <c r="H945" s="61"/>
      <c r="I945" s="61"/>
      <c r="J945" s="61"/>
      <c r="K945" s="61"/>
      <c r="L945" s="61"/>
      <c r="M945" s="61"/>
      <c r="N945" s="61"/>
      <c r="O945" s="61"/>
      <c r="P945" s="61"/>
      <c r="Q945" s="61"/>
      <c r="R945" s="61"/>
      <c r="S945" s="61"/>
      <c r="T945" s="61"/>
      <c r="U945" s="61"/>
      <c r="V945" s="61"/>
      <c r="W945" s="61"/>
      <c r="X945" s="61"/>
      <c r="Y945" s="61"/>
      <c r="Z945" s="61"/>
    </row>
    <row r="946" spans="1:26" ht="13">
      <c r="A946" s="61"/>
      <c r="B946" s="61"/>
      <c r="C946" s="61"/>
      <c r="D946" s="61"/>
      <c r="E946" s="61"/>
      <c r="F946" s="61"/>
      <c r="G946" s="179"/>
      <c r="H946" s="61"/>
      <c r="I946" s="61"/>
      <c r="J946" s="61"/>
      <c r="K946" s="61"/>
      <c r="L946" s="61"/>
      <c r="M946" s="61"/>
      <c r="N946" s="61"/>
      <c r="O946" s="61"/>
      <c r="P946" s="61"/>
      <c r="Q946" s="61"/>
      <c r="R946" s="61"/>
      <c r="S946" s="61"/>
      <c r="T946" s="61"/>
      <c r="U946" s="61"/>
      <c r="V946" s="61"/>
      <c r="W946" s="61"/>
      <c r="X946" s="61"/>
      <c r="Y946" s="61"/>
      <c r="Z946" s="61"/>
    </row>
    <row r="947" spans="1:26" ht="13">
      <c r="A947" s="61"/>
      <c r="B947" s="61"/>
      <c r="C947" s="61"/>
      <c r="D947" s="61"/>
      <c r="E947" s="61"/>
      <c r="F947" s="61"/>
      <c r="G947" s="179"/>
      <c r="H947" s="61"/>
      <c r="I947" s="61"/>
      <c r="J947" s="61"/>
      <c r="K947" s="61"/>
      <c r="L947" s="61"/>
      <c r="M947" s="61"/>
      <c r="N947" s="61"/>
      <c r="O947" s="61"/>
      <c r="P947" s="61"/>
      <c r="Q947" s="61"/>
      <c r="R947" s="61"/>
      <c r="S947" s="61"/>
      <c r="T947" s="61"/>
      <c r="U947" s="61"/>
      <c r="V947" s="61"/>
      <c r="W947" s="61"/>
      <c r="X947" s="61"/>
      <c r="Y947" s="61"/>
      <c r="Z947" s="61"/>
    </row>
    <row r="948" spans="1:26" ht="13">
      <c r="A948" s="61"/>
      <c r="B948" s="61"/>
      <c r="C948" s="61"/>
      <c r="D948" s="61"/>
      <c r="E948" s="61"/>
      <c r="F948" s="61"/>
      <c r="G948" s="179"/>
      <c r="H948" s="61"/>
      <c r="I948" s="61"/>
      <c r="J948" s="61"/>
      <c r="K948" s="61"/>
      <c r="L948" s="61"/>
      <c r="M948" s="61"/>
      <c r="N948" s="61"/>
      <c r="O948" s="61"/>
      <c r="P948" s="61"/>
      <c r="Q948" s="61"/>
      <c r="R948" s="61"/>
      <c r="S948" s="61"/>
      <c r="T948" s="61"/>
      <c r="U948" s="61"/>
      <c r="V948" s="61"/>
      <c r="W948" s="61"/>
      <c r="X948" s="61"/>
      <c r="Y948" s="61"/>
      <c r="Z948" s="61"/>
    </row>
    <row r="949" spans="1:26" ht="13">
      <c r="A949" s="61"/>
      <c r="B949" s="61"/>
      <c r="C949" s="61"/>
      <c r="D949" s="61"/>
      <c r="E949" s="61"/>
      <c r="F949" s="61"/>
      <c r="G949" s="179"/>
      <c r="H949" s="61"/>
      <c r="I949" s="61"/>
      <c r="J949" s="61"/>
      <c r="K949" s="61"/>
      <c r="L949" s="61"/>
      <c r="M949" s="61"/>
      <c r="N949" s="61"/>
      <c r="O949" s="61"/>
      <c r="P949" s="61"/>
      <c r="Q949" s="61"/>
      <c r="R949" s="61"/>
      <c r="S949" s="61"/>
      <c r="T949" s="61"/>
      <c r="U949" s="61"/>
      <c r="V949" s="61"/>
      <c r="W949" s="61"/>
      <c r="X949" s="61"/>
      <c r="Y949" s="61"/>
      <c r="Z949" s="61"/>
    </row>
    <row r="950" spans="1:26" ht="13">
      <c r="A950" s="61"/>
      <c r="B950" s="61"/>
      <c r="C950" s="61"/>
      <c r="D950" s="61"/>
      <c r="E950" s="61"/>
      <c r="F950" s="61"/>
      <c r="G950" s="179"/>
      <c r="H950" s="61"/>
      <c r="I950" s="61"/>
      <c r="J950" s="61"/>
      <c r="K950" s="61"/>
      <c r="L950" s="61"/>
      <c r="M950" s="61"/>
      <c r="N950" s="61"/>
      <c r="O950" s="61"/>
      <c r="P950" s="61"/>
      <c r="Q950" s="61"/>
      <c r="R950" s="61"/>
      <c r="S950" s="61"/>
      <c r="T950" s="61"/>
      <c r="U950" s="61"/>
      <c r="V950" s="61"/>
      <c r="W950" s="61"/>
      <c r="X950" s="61"/>
      <c r="Y950" s="61"/>
      <c r="Z950" s="61"/>
    </row>
    <row r="951" spans="1:26" ht="13">
      <c r="A951" s="61"/>
      <c r="B951" s="61"/>
      <c r="C951" s="61"/>
      <c r="D951" s="61"/>
      <c r="E951" s="61"/>
      <c r="F951" s="61"/>
      <c r="G951" s="179"/>
      <c r="H951" s="61"/>
      <c r="I951" s="61"/>
      <c r="J951" s="61"/>
      <c r="K951" s="61"/>
      <c r="L951" s="61"/>
      <c r="M951" s="61"/>
      <c r="N951" s="61"/>
      <c r="O951" s="61"/>
      <c r="P951" s="61"/>
      <c r="Q951" s="61"/>
      <c r="R951" s="61"/>
      <c r="S951" s="61"/>
      <c r="T951" s="61"/>
      <c r="U951" s="61"/>
      <c r="V951" s="61"/>
      <c r="W951" s="61"/>
      <c r="X951" s="61"/>
      <c r="Y951" s="61"/>
      <c r="Z951" s="61"/>
    </row>
    <row r="952" spans="1:26" ht="13">
      <c r="A952" s="61"/>
      <c r="B952" s="61"/>
      <c r="C952" s="61"/>
      <c r="D952" s="61"/>
      <c r="E952" s="61"/>
      <c r="F952" s="61"/>
      <c r="G952" s="179"/>
      <c r="H952" s="61"/>
      <c r="I952" s="61"/>
      <c r="J952" s="61"/>
      <c r="K952" s="61"/>
      <c r="L952" s="61"/>
      <c r="M952" s="61"/>
      <c r="N952" s="61"/>
      <c r="O952" s="61"/>
      <c r="P952" s="61"/>
      <c r="Q952" s="61"/>
      <c r="R952" s="61"/>
      <c r="S952" s="61"/>
      <c r="T952" s="61"/>
      <c r="U952" s="61"/>
      <c r="V952" s="61"/>
      <c r="W952" s="61"/>
      <c r="X952" s="61"/>
      <c r="Y952" s="61"/>
      <c r="Z952" s="61"/>
    </row>
    <row r="953" spans="1:26" ht="13">
      <c r="A953" s="61"/>
      <c r="B953" s="61"/>
      <c r="C953" s="61"/>
      <c r="D953" s="61"/>
      <c r="E953" s="61"/>
      <c r="F953" s="61"/>
      <c r="G953" s="179"/>
      <c r="H953" s="61"/>
      <c r="I953" s="61"/>
      <c r="J953" s="61"/>
      <c r="K953" s="61"/>
      <c r="L953" s="61"/>
      <c r="M953" s="61"/>
      <c r="N953" s="61"/>
      <c r="O953" s="61"/>
      <c r="P953" s="61"/>
      <c r="Q953" s="61"/>
      <c r="R953" s="61"/>
      <c r="S953" s="61"/>
      <c r="T953" s="61"/>
      <c r="U953" s="61"/>
      <c r="V953" s="61"/>
      <c r="W953" s="61"/>
      <c r="X953" s="61"/>
      <c r="Y953" s="61"/>
      <c r="Z953" s="61"/>
    </row>
    <row r="954" spans="1:26" ht="13">
      <c r="A954" s="61"/>
      <c r="B954" s="61"/>
      <c r="C954" s="61"/>
      <c r="D954" s="61"/>
      <c r="E954" s="61"/>
      <c r="F954" s="61"/>
      <c r="G954" s="179"/>
      <c r="H954" s="61"/>
      <c r="I954" s="61"/>
      <c r="J954" s="61"/>
      <c r="K954" s="61"/>
      <c r="L954" s="61"/>
      <c r="M954" s="61"/>
      <c r="N954" s="61"/>
      <c r="O954" s="61"/>
      <c r="P954" s="61"/>
      <c r="Q954" s="61"/>
      <c r="R954" s="61"/>
      <c r="S954" s="61"/>
      <c r="T954" s="61"/>
      <c r="U954" s="61"/>
      <c r="V954" s="61"/>
      <c r="W954" s="61"/>
      <c r="X954" s="61"/>
      <c r="Y954" s="61"/>
      <c r="Z954" s="61"/>
    </row>
    <row r="955" spans="1:26" ht="13">
      <c r="A955" s="61"/>
      <c r="B955" s="61"/>
      <c r="C955" s="61"/>
      <c r="D955" s="61"/>
      <c r="E955" s="61"/>
      <c r="F955" s="61"/>
      <c r="G955" s="179"/>
      <c r="H955" s="61"/>
      <c r="I955" s="61"/>
      <c r="J955" s="61"/>
      <c r="K955" s="61"/>
      <c r="L955" s="61"/>
      <c r="M955" s="61"/>
      <c r="N955" s="61"/>
      <c r="O955" s="61"/>
      <c r="P955" s="61"/>
      <c r="Q955" s="61"/>
      <c r="R955" s="61"/>
      <c r="S955" s="61"/>
      <c r="T955" s="61"/>
      <c r="U955" s="61"/>
      <c r="V955" s="61"/>
      <c r="W955" s="61"/>
      <c r="X955" s="61"/>
      <c r="Y955" s="61"/>
      <c r="Z955" s="61"/>
    </row>
    <row r="956" spans="1:26" ht="13">
      <c r="A956" s="61"/>
      <c r="B956" s="61"/>
      <c r="C956" s="61"/>
      <c r="D956" s="61"/>
      <c r="E956" s="61"/>
      <c r="F956" s="61"/>
      <c r="G956" s="179"/>
      <c r="H956" s="61"/>
      <c r="I956" s="61"/>
      <c r="J956" s="61"/>
      <c r="K956" s="61"/>
      <c r="L956" s="61"/>
      <c r="M956" s="61"/>
      <c r="N956" s="61"/>
      <c r="O956" s="61"/>
      <c r="P956" s="61"/>
      <c r="Q956" s="61"/>
      <c r="R956" s="61"/>
      <c r="S956" s="61"/>
      <c r="T956" s="61"/>
      <c r="U956" s="61"/>
      <c r="V956" s="61"/>
      <c r="W956" s="61"/>
      <c r="X956" s="61"/>
      <c r="Y956" s="61"/>
      <c r="Z956" s="61"/>
    </row>
    <row r="957" spans="1:26" ht="13">
      <c r="A957" s="61"/>
      <c r="B957" s="61"/>
      <c r="C957" s="61"/>
      <c r="D957" s="61"/>
      <c r="E957" s="61"/>
      <c r="F957" s="61"/>
      <c r="G957" s="179"/>
      <c r="H957" s="61"/>
      <c r="I957" s="61"/>
      <c r="J957" s="61"/>
      <c r="K957" s="61"/>
      <c r="L957" s="61"/>
      <c r="M957" s="61"/>
      <c r="N957" s="61"/>
      <c r="O957" s="61"/>
      <c r="P957" s="61"/>
      <c r="Q957" s="61"/>
      <c r="R957" s="61"/>
      <c r="S957" s="61"/>
      <c r="T957" s="61"/>
      <c r="U957" s="61"/>
      <c r="V957" s="61"/>
      <c r="W957" s="61"/>
      <c r="X957" s="61"/>
      <c r="Y957" s="61"/>
      <c r="Z957" s="61"/>
    </row>
    <row r="958" spans="1:26" ht="13">
      <c r="A958" s="61"/>
      <c r="B958" s="61"/>
      <c r="C958" s="61"/>
      <c r="D958" s="61"/>
      <c r="E958" s="61"/>
      <c r="F958" s="61"/>
      <c r="G958" s="179"/>
      <c r="H958" s="61"/>
      <c r="I958" s="61"/>
      <c r="J958" s="61"/>
      <c r="K958" s="61"/>
      <c r="L958" s="61"/>
      <c r="M958" s="61"/>
      <c r="N958" s="61"/>
      <c r="O958" s="61"/>
      <c r="P958" s="61"/>
      <c r="Q958" s="61"/>
      <c r="R958" s="61"/>
      <c r="S958" s="61"/>
      <c r="T958" s="61"/>
      <c r="U958" s="61"/>
      <c r="V958" s="61"/>
      <c r="W958" s="61"/>
      <c r="X958" s="61"/>
      <c r="Y958" s="61"/>
      <c r="Z958" s="61"/>
    </row>
    <row r="959" spans="1:26" ht="13">
      <c r="A959" s="61"/>
      <c r="B959" s="61"/>
      <c r="C959" s="61"/>
      <c r="D959" s="61"/>
      <c r="E959" s="61"/>
      <c r="F959" s="61"/>
      <c r="G959" s="179"/>
      <c r="H959" s="61"/>
      <c r="I959" s="61"/>
      <c r="J959" s="61"/>
      <c r="K959" s="61"/>
      <c r="L959" s="61"/>
      <c r="M959" s="61"/>
      <c r="N959" s="61"/>
      <c r="O959" s="61"/>
      <c r="P959" s="61"/>
      <c r="Q959" s="61"/>
      <c r="R959" s="61"/>
      <c r="S959" s="61"/>
      <c r="T959" s="61"/>
      <c r="U959" s="61"/>
      <c r="V959" s="61"/>
      <c r="W959" s="61"/>
      <c r="X959" s="61"/>
      <c r="Y959" s="61"/>
      <c r="Z959" s="61"/>
    </row>
    <row r="960" spans="1:26" ht="13">
      <c r="A960" s="61"/>
      <c r="B960" s="61"/>
      <c r="C960" s="61"/>
      <c r="D960" s="61"/>
      <c r="E960" s="61"/>
      <c r="F960" s="61"/>
      <c r="G960" s="179"/>
      <c r="H960" s="61"/>
      <c r="I960" s="61"/>
      <c r="J960" s="61"/>
      <c r="K960" s="61"/>
      <c r="L960" s="61"/>
      <c r="M960" s="61"/>
      <c r="N960" s="61"/>
      <c r="O960" s="61"/>
      <c r="P960" s="61"/>
      <c r="Q960" s="61"/>
      <c r="R960" s="61"/>
      <c r="S960" s="61"/>
      <c r="T960" s="61"/>
      <c r="U960" s="61"/>
      <c r="V960" s="61"/>
      <c r="W960" s="61"/>
      <c r="X960" s="61"/>
      <c r="Y960" s="61"/>
      <c r="Z960" s="61"/>
    </row>
    <row r="961" spans="1:26" ht="13">
      <c r="A961" s="61"/>
      <c r="B961" s="61"/>
      <c r="C961" s="61"/>
      <c r="D961" s="61"/>
      <c r="E961" s="61"/>
      <c r="F961" s="61"/>
      <c r="G961" s="179"/>
      <c r="H961" s="61"/>
      <c r="I961" s="61"/>
      <c r="J961" s="61"/>
      <c r="K961" s="61"/>
      <c r="L961" s="61"/>
      <c r="M961" s="61"/>
      <c r="N961" s="61"/>
      <c r="O961" s="61"/>
      <c r="P961" s="61"/>
      <c r="Q961" s="61"/>
      <c r="R961" s="61"/>
      <c r="S961" s="61"/>
      <c r="T961" s="61"/>
      <c r="U961" s="61"/>
      <c r="V961" s="61"/>
      <c r="W961" s="61"/>
      <c r="X961" s="61"/>
      <c r="Y961" s="61"/>
      <c r="Z961" s="61"/>
    </row>
    <row r="962" spans="1:26" ht="13">
      <c r="A962" s="61"/>
      <c r="B962" s="61"/>
      <c r="C962" s="61"/>
      <c r="D962" s="61"/>
      <c r="E962" s="61"/>
      <c r="F962" s="61"/>
      <c r="G962" s="179"/>
      <c r="H962" s="61"/>
      <c r="I962" s="61"/>
      <c r="J962" s="61"/>
      <c r="K962" s="61"/>
      <c r="L962" s="61"/>
      <c r="M962" s="61"/>
      <c r="N962" s="61"/>
      <c r="O962" s="61"/>
      <c r="P962" s="61"/>
      <c r="Q962" s="61"/>
      <c r="R962" s="61"/>
      <c r="S962" s="61"/>
      <c r="T962" s="61"/>
      <c r="U962" s="61"/>
      <c r="V962" s="61"/>
      <c r="W962" s="61"/>
      <c r="X962" s="61"/>
      <c r="Y962" s="61"/>
      <c r="Z962" s="61"/>
    </row>
    <row r="963" spans="1:26" ht="13">
      <c r="A963" s="61"/>
      <c r="B963" s="61"/>
      <c r="C963" s="61"/>
      <c r="D963" s="61"/>
      <c r="E963" s="61"/>
      <c r="F963" s="61"/>
      <c r="G963" s="179"/>
      <c r="H963" s="61"/>
      <c r="I963" s="61"/>
      <c r="J963" s="61"/>
      <c r="K963" s="61"/>
      <c r="L963" s="61"/>
      <c r="M963" s="61"/>
      <c r="N963" s="61"/>
      <c r="O963" s="61"/>
      <c r="P963" s="61"/>
      <c r="Q963" s="61"/>
      <c r="R963" s="61"/>
      <c r="S963" s="61"/>
      <c r="T963" s="61"/>
      <c r="U963" s="61"/>
      <c r="V963" s="61"/>
      <c r="W963" s="61"/>
      <c r="X963" s="61"/>
      <c r="Y963" s="61"/>
      <c r="Z963" s="61"/>
    </row>
    <row r="964" spans="1:26" ht="13">
      <c r="A964" s="61"/>
      <c r="B964" s="61"/>
      <c r="C964" s="61"/>
      <c r="D964" s="61"/>
      <c r="E964" s="61"/>
      <c r="F964" s="61"/>
      <c r="G964" s="179"/>
      <c r="H964" s="61"/>
      <c r="I964" s="61"/>
      <c r="J964" s="61"/>
      <c r="K964" s="61"/>
      <c r="L964" s="61"/>
      <c r="M964" s="61"/>
      <c r="N964" s="61"/>
      <c r="O964" s="61"/>
      <c r="P964" s="61"/>
      <c r="Q964" s="61"/>
      <c r="R964" s="61"/>
      <c r="S964" s="61"/>
      <c r="T964" s="61"/>
      <c r="U964" s="61"/>
      <c r="V964" s="61"/>
      <c r="W964" s="61"/>
      <c r="X964" s="61"/>
      <c r="Y964" s="61"/>
      <c r="Z964" s="61"/>
    </row>
    <row r="965" spans="1:26" ht="13">
      <c r="A965" s="61"/>
      <c r="B965" s="61"/>
      <c r="C965" s="61"/>
      <c r="D965" s="61"/>
      <c r="E965" s="61"/>
      <c r="F965" s="61"/>
      <c r="G965" s="179"/>
      <c r="H965" s="61"/>
      <c r="I965" s="61"/>
      <c r="J965" s="61"/>
      <c r="K965" s="61"/>
      <c r="L965" s="61"/>
      <c r="M965" s="61"/>
      <c r="N965" s="61"/>
      <c r="O965" s="61"/>
      <c r="P965" s="61"/>
      <c r="Q965" s="61"/>
      <c r="R965" s="61"/>
      <c r="S965" s="61"/>
      <c r="T965" s="61"/>
      <c r="U965" s="61"/>
      <c r="V965" s="61"/>
      <c r="W965" s="61"/>
      <c r="X965" s="61"/>
      <c r="Y965" s="61"/>
      <c r="Z965" s="61"/>
    </row>
    <row r="966" spans="1:26" ht="13">
      <c r="A966" s="61"/>
      <c r="B966" s="61"/>
      <c r="C966" s="61"/>
      <c r="D966" s="61"/>
      <c r="E966" s="61"/>
      <c r="F966" s="61"/>
      <c r="G966" s="179"/>
      <c r="H966" s="61"/>
      <c r="I966" s="61"/>
      <c r="J966" s="61"/>
      <c r="K966" s="61"/>
      <c r="L966" s="61"/>
      <c r="M966" s="61"/>
      <c r="N966" s="61"/>
      <c r="O966" s="61"/>
      <c r="P966" s="61"/>
      <c r="Q966" s="61"/>
      <c r="R966" s="61"/>
      <c r="S966" s="61"/>
      <c r="T966" s="61"/>
      <c r="U966" s="61"/>
      <c r="V966" s="61"/>
      <c r="W966" s="61"/>
      <c r="X966" s="61"/>
      <c r="Y966" s="61"/>
      <c r="Z966" s="61"/>
    </row>
    <row r="967" spans="1:26" ht="13">
      <c r="A967" s="61"/>
      <c r="B967" s="61"/>
      <c r="C967" s="61"/>
      <c r="D967" s="61"/>
      <c r="E967" s="61"/>
      <c r="F967" s="61"/>
      <c r="G967" s="179"/>
      <c r="H967" s="61"/>
      <c r="I967" s="61"/>
      <c r="J967" s="61"/>
      <c r="K967" s="61"/>
      <c r="L967" s="61"/>
      <c r="M967" s="61"/>
      <c r="N967" s="61"/>
      <c r="O967" s="61"/>
      <c r="P967" s="61"/>
      <c r="Q967" s="61"/>
      <c r="R967" s="61"/>
      <c r="S967" s="61"/>
      <c r="T967" s="61"/>
      <c r="U967" s="61"/>
      <c r="V967" s="61"/>
      <c r="W967" s="61"/>
      <c r="X967" s="61"/>
      <c r="Y967" s="61"/>
      <c r="Z967" s="61"/>
    </row>
    <row r="968" spans="1:26" ht="13">
      <c r="A968" s="61"/>
      <c r="B968" s="61"/>
      <c r="C968" s="61"/>
      <c r="D968" s="61"/>
      <c r="E968" s="61"/>
      <c r="F968" s="61"/>
      <c r="G968" s="179"/>
      <c r="H968" s="61"/>
      <c r="I968" s="61"/>
      <c r="J968" s="61"/>
      <c r="K968" s="61"/>
      <c r="L968" s="61"/>
      <c r="M968" s="61"/>
      <c r="N968" s="61"/>
      <c r="O968" s="61"/>
      <c r="P968" s="61"/>
      <c r="Q968" s="61"/>
      <c r="R968" s="61"/>
      <c r="S968" s="61"/>
      <c r="T968" s="61"/>
      <c r="U968" s="61"/>
      <c r="V968" s="61"/>
      <c r="W968" s="61"/>
      <c r="X968" s="61"/>
      <c r="Y968" s="61"/>
      <c r="Z968" s="61"/>
    </row>
    <row r="969" spans="1:26" ht="13">
      <c r="A969" s="61"/>
      <c r="B969" s="61"/>
      <c r="C969" s="61"/>
      <c r="D969" s="61"/>
      <c r="E969" s="61"/>
      <c r="F969" s="61"/>
      <c r="G969" s="179"/>
      <c r="H969" s="61"/>
      <c r="I969" s="61"/>
      <c r="J969" s="61"/>
      <c r="K969" s="61"/>
      <c r="L969" s="61"/>
      <c r="M969" s="61"/>
      <c r="N969" s="61"/>
      <c r="O969" s="61"/>
      <c r="P969" s="61"/>
      <c r="Q969" s="61"/>
      <c r="R969" s="61"/>
      <c r="S969" s="61"/>
      <c r="T969" s="61"/>
      <c r="U969" s="61"/>
      <c r="V969" s="61"/>
      <c r="W969" s="61"/>
      <c r="X969" s="61"/>
      <c r="Y969" s="61"/>
      <c r="Z969" s="61"/>
    </row>
    <row r="970" spans="1:26" ht="13">
      <c r="A970" s="61"/>
      <c r="B970" s="61"/>
      <c r="C970" s="61"/>
      <c r="D970" s="61"/>
      <c r="E970" s="61"/>
      <c r="F970" s="61"/>
      <c r="G970" s="179"/>
      <c r="H970" s="61"/>
      <c r="I970" s="61"/>
      <c r="J970" s="61"/>
      <c r="K970" s="61"/>
      <c r="L970" s="61"/>
      <c r="M970" s="61"/>
      <c r="N970" s="61"/>
      <c r="O970" s="61"/>
      <c r="P970" s="61"/>
      <c r="Q970" s="61"/>
      <c r="R970" s="61"/>
      <c r="S970" s="61"/>
      <c r="T970" s="61"/>
      <c r="U970" s="61"/>
      <c r="V970" s="61"/>
      <c r="W970" s="61"/>
      <c r="X970" s="61"/>
      <c r="Y970" s="61"/>
      <c r="Z970" s="61"/>
    </row>
    <row r="971" spans="1:26" ht="13">
      <c r="A971" s="61"/>
      <c r="B971" s="61"/>
      <c r="C971" s="61"/>
      <c r="D971" s="61"/>
      <c r="E971" s="61"/>
      <c r="F971" s="61"/>
      <c r="G971" s="179"/>
      <c r="H971" s="61"/>
      <c r="I971" s="61"/>
      <c r="J971" s="61"/>
      <c r="K971" s="61"/>
      <c r="L971" s="61"/>
      <c r="M971" s="61"/>
      <c r="N971" s="61"/>
      <c r="O971" s="61"/>
      <c r="P971" s="61"/>
      <c r="Q971" s="61"/>
      <c r="R971" s="61"/>
      <c r="S971" s="61"/>
      <c r="T971" s="61"/>
      <c r="U971" s="61"/>
      <c r="V971" s="61"/>
      <c r="W971" s="61"/>
      <c r="X971" s="61"/>
      <c r="Y971" s="61"/>
      <c r="Z971" s="61"/>
    </row>
    <row r="972" spans="1:26" ht="13">
      <c r="A972" s="61"/>
      <c r="B972" s="61"/>
      <c r="C972" s="61"/>
      <c r="D972" s="61"/>
      <c r="E972" s="61"/>
      <c r="F972" s="61"/>
      <c r="G972" s="179"/>
      <c r="H972" s="61"/>
      <c r="I972" s="61"/>
      <c r="J972" s="61"/>
      <c r="K972" s="61"/>
      <c r="L972" s="61"/>
      <c r="M972" s="61"/>
      <c r="N972" s="61"/>
      <c r="O972" s="61"/>
      <c r="P972" s="61"/>
      <c r="Q972" s="61"/>
      <c r="R972" s="61"/>
      <c r="S972" s="61"/>
      <c r="T972" s="61"/>
      <c r="U972" s="61"/>
      <c r="V972" s="61"/>
      <c r="W972" s="61"/>
      <c r="X972" s="61"/>
      <c r="Y972" s="61"/>
      <c r="Z972" s="61"/>
    </row>
    <row r="973" spans="1:26" ht="13">
      <c r="A973" s="61"/>
      <c r="B973" s="61"/>
      <c r="C973" s="61"/>
      <c r="D973" s="61"/>
      <c r="E973" s="61"/>
      <c r="F973" s="61"/>
      <c r="G973" s="179"/>
      <c r="H973" s="61"/>
      <c r="I973" s="61"/>
      <c r="J973" s="61"/>
      <c r="K973" s="61"/>
      <c r="L973" s="61"/>
      <c r="M973" s="61"/>
      <c r="N973" s="61"/>
      <c r="O973" s="61"/>
      <c r="P973" s="61"/>
      <c r="Q973" s="61"/>
      <c r="R973" s="61"/>
      <c r="S973" s="61"/>
      <c r="T973" s="61"/>
      <c r="U973" s="61"/>
      <c r="V973" s="61"/>
      <c r="W973" s="61"/>
      <c r="X973" s="61"/>
      <c r="Y973" s="61"/>
      <c r="Z973" s="61"/>
    </row>
    <row r="974" spans="1:26" ht="13">
      <c r="A974" s="61"/>
      <c r="B974" s="61"/>
      <c r="C974" s="61"/>
      <c r="D974" s="61"/>
      <c r="E974" s="61"/>
      <c r="F974" s="61"/>
      <c r="G974" s="179"/>
      <c r="H974" s="61"/>
      <c r="I974" s="61"/>
      <c r="J974" s="61"/>
      <c r="K974" s="61"/>
      <c r="L974" s="61"/>
      <c r="M974" s="61"/>
      <c r="N974" s="61"/>
      <c r="O974" s="61"/>
      <c r="P974" s="61"/>
      <c r="Q974" s="61"/>
      <c r="R974" s="61"/>
      <c r="S974" s="61"/>
      <c r="T974" s="61"/>
      <c r="U974" s="61"/>
      <c r="V974" s="61"/>
      <c r="W974" s="61"/>
      <c r="X974" s="61"/>
      <c r="Y974" s="61"/>
      <c r="Z974" s="61"/>
    </row>
    <row r="975" spans="1:26" ht="13">
      <c r="A975" s="61"/>
      <c r="B975" s="61"/>
      <c r="C975" s="61"/>
      <c r="D975" s="61"/>
      <c r="E975" s="61"/>
      <c r="F975" s="61"/>
      <c r="G975" s="179"/>
      <c r="H975" s="61"/>
      <c r="I975" s="61"/>
      <c r="J975" s="61"/>
      <c r="K975" s="61"/>
      <c r="L975" s="61"/>
      <c r="M975" s="61"/>
      <c r="N975" s="61"/>
      <c r="O975" s="61"/>
      <c r="P975" s="61"/>
      <c r="Q975" s="61"/>
      <c r="R975" s="61"/>
      <c r="S975" s="61"/>
      <c r="T975" s="61"/>
      <c r="U975" s="61"/>
      <c r="V975" s="61"/>
      <c r="W975" s="61"/>
      <c r="X975" s="61"/>
      <c r="Y975" s="61"/>
      <c r="Z975" s="61"/>
    </row>
    <row r="976" spans="1:26" ht="13">
      <c r="A976" s="61"/>
      <c r="B976" s="61"/>
      <c r="C976" s="61"/>
      <c r="D976" s="61"/>
      <c r="E976" s="61"/>
      <c r="F976" s="61"/>
      <c r="G976" s="179"/>
      <c r="H976" s="61"/>
      <c r="I976" s="61"/>
      <c r="J976" s="61"/>
      <c r="K976" s="61"/>
      <c r="L976" s="61"/>
      <c r="M976" s="61"/>
      <c r="N976" s="61"/>
      <c r="O976" s="61"/>
      <c r="P976" s="61"/>
      <c r="Q976" s="61"/>
      <c r="R976" s="61"/>
      <c r="S976" s="61"/>
      <c r="T976" s="61"/>
      <c r="U976" s="61"/>
      <c r="V976" s="61"/>
      <c r="W976" s="61"/>
      <c r="X976" s="61"/>
      <c r="Y976" s="61"/>
      <c r="Z976" s="61"/>
    </row>
    <row r="977" spans="1:26" ht="13">
      <c r="A977" s="61"/>
      <c r="B977" s="61"/>
      <c r="C977" s="61"/>
      <c r="D977" s="61"/>
      <c r="E977" s="61"/>
      <c r="F977" s="61"/>
      <c r="G977" s="179"/>
      <c r="H977" s="61"/>
      <c r="I977" s="61"/>
      <c r="J977" s="61"/>
      <c r="K977" s="61"/>
      <c r="L977" s="61"/>
      <c r="M977" s="61"/>
      <c r="N977" s="61"/>
      <c r="O977" s="61"/>
      <c r="P977" s="61"/>
      <c r="Q977" s="61"/>
      <c r="R977" s="61"/>
      <c r="S977" s="61"/>
      <c r="T977" s="61"/>
      <c r="U977" s="61"/>
      <c r="V977" s="61"/>
      <c r="W977" s="61"/>
      <c r="X977" s="61"/>
      <c r="Y977" s="61"/>
      <c r="Z977" s="61"/>
    </row>
    <row r="978" spans="1:26" ht="13">
      <c r="A978" s="61"/>
      <c r="B978" s="61"/>
      <c r="C978" s="61"/>
      <c r="D978" s="61"/>
      <c r="E978" s="61"/>
      <c r="F978" s="61"/>
      <c r="G978" s="179"/>
      <c r="H978" s="61"/>
      <c r="I978" s="61"/>
      <c r="J978" s="61"/>
      <c r="K978" s="61"/>
      <c r="L978" s="61"/>
      <c r="M978" s="61"/>
      <c r="N978" s="61"/>
      <c r="O978" s="61"/>
      <c r="P978" s="61"/>
      <c r="Q978" s="61"/>
      <c r="R978" s="61"/>
      <c r="S978" s="61"/>
      <c r="T978" s="61"/>
      <c r="U978" s="61"/>
      <c r="V978" s="61"/>
      <c r="W978" s="61"/>
      <c r="X978" s="61"/>
      <c r="Y978" s="61"/>
      <c r="Z978" s="61"/>
    </row>
    <row r="979" spans="1:26" ht="13">
      <c r="A979" s="61"/>
      <c r="B979" s="61"/>
      <c r="C979" s="61"/>
      <c r="D979" s="61"/>
      <c r="E979" s="61"/>
      <c r="F979" s="61"/>
      <c r="G979" s="179"/>
      <c r="H979" s="61"/>
      <c r="I979" s="61"/>
      <c r="J979" s="61"/>
      <c r="K979" s="61"/>
      <c r="L979" s="61"/>
      <c r="M979" s="61"/>
      <c r="N979" s="61"/>
      <c r="O979" s="61"/>
      <c r="P979" s="61"/>
      <c r="Q979" s="61"/>
      <c r="R979" s="61"/>
      <c r="S979" s="61"/>
      <c r="T979" s="61"/>
      <c r="U979" s="61"/>
      <c r="V979" s="61"/>
      <c r="W979" s="61"/>
      <c r="X979" s="61"/>
      <c r="Y979" s="61"/>
      <c r="Z979" s="61"/>
    </row>
    <row r="980" spans="1:26" ht="13">
      <c r="A980" s="61"/>
      <c r="B980" s="61"/>
      <c r="C980" s="61"/>
      <c r="D980" s="61"/>
      <c r="E980" s="61"/>
      <c r="F980" s="61"/>
      <c r="G980" s="179"/>
      <c r="H980" s="61"/>
      <c r="I980" s="61"/>
      <c r="J980" s="61"/>
      <c r="K980" s="61"/>
      <c r="L980" s="61"/>
      <c r="M980" s="61"/>
      <c r="N980" s="61"/>
      <c r="O980" s="61"/>
      <c r="P980" s="61"/>
      <c r="Q980" s="61"/>
      <c r="R980" s="61"/>
      <c r="S980" s="61"/>
      <c r="T980" s="61"/>
      <c r="U980" s="61"/>
      <c r="V980" s="61"/>
      <c r="W980" s="61"/>
      <c r="X980" s="61"/>
      <c r="Y980" s="61"/>
      <c r="Z980" s="61"/>
    </row>
    <row r="981" spans="1:26" ht="13">
      <c r="A981" s="61"/>
      <c r="B981" s="61"/>
      <c r="C981" s="61"/>
      <c r="D981" s="61"/>
      <c r="E981" s="61"/>
      <c r="F981" s="61"/>
      <c r="G981" s="179"/>
      <c r="H981" s="61"/>
      <c r="I981" s="61"/>
      <c r="J981" s="61"/>
      <c r="K981" s="61"/>
      <c r="L981" s="61"/>
      <c r="M981" s="61"/>
      <c r="N981" s="61"/>
      <c r="O981" s="61"/>
      <c r="P981" s="61"/>
      <c r="Q981" s="61"/>
      <c r="R981" s="61"/>
      <c r="S981" s="61"/>
      <c r="T981" s="61"/>
      <c r="U981" s="61"/>
      <c r="V981" s="61"/>
      <c r="W981" s="61"/>
      <c r="X981" s="61"/>
      <c r="Y981" s="61"/>
      <c r="Z981" s="61"/>
    </row>
    <row r="982" spans="1:26" ht="13">
      <c r="A982" s="61"/>
      <c r="B982" s="61"/>
      <c r="C982" s="61"/>
      <c r="D982" s="61"/>
      <c r="E982" s="61"/>
      <c r="F982" s="61"/>
      <c r="G982" s="179"/>
      <c r="H982" s="61"/>
      <c r="I982" s="61"/>
      <c r="J982" s="61"/>
      <c r="K982" s="61"/>
      <c r="L982" s="61"/>
      <c r="M982" s="61"/>
      <c r="N982" s="61"/>
      <c r="O982" s="61"/>
      <c r="P982" s="61"/>
      <c r="Q982" s="61"/>
      <c r="R982" s="61"/>
      <c r="S982" s="61"/>
      <c r="T982" s="61"/>
      <c r="U982" s="61"/>
      <c r="V982" s="61"/>
      <c r="W982" s="61"/>
      <c r="X982" s="61"/>
      <c r="Y982" s="61"/>
      <c r="Z982" s="61"/>
    </row>
    <row r="983" spans="1:26" ht="13">
      <c r="A983" s="61"/>
      <c r="B983" s="61"/>
      <c r="C983" s="61"/>
      <c r="D983" s="61"/>
      <c r="E983" s="61"/>
      <c r="F983" s="61"/>
      <c r="G983" s="179"/>
      <c r="H983" s="61"/>
      <c r="I983" s="61"/>
      <c r="J983" s="61"/>
      <c r="K983" s="61"/>
      <c r="L983" s="61"/>
      <c r="M983" s="61"/>
      <c r="N983" s="61"/>
      <c r="O983" s="61"/>
      <c r="P983" s="61"/>
      <c r="Q983" s="61"/>
      <c r="R983" s="61"/>
      <c r="S983" s="61"/>
      <c r="T983" s="61"/>
      <c r="U983" s="61"/>
      <c r="V983" s="61"/>
      <c r="W983" s="61"/>
      <c r="X983" s="61"/>
      <c r="Y983" s="61"/>
      <c r="Z983" s="61"/>
    </row>
    <row r="984" spans="1:26" ht="13">
      <c r="A984" s="61"/>
      <c r="B984" s="61"/>
      <c r="C984" s="61"/>
      <c r="D984" s="61"/>
      <c r="E984" s="61"/>
      <c r="F984" s="61"/>
      <c r="G984" s="179"/>
      <c r="H984" s="61"/>
      <c r="I984" s="61"/>
      <c r="J984" s="61"/>
      <c r="K984" s="61"/>
      <c r="L984" s="61"/>
      <c r="M984" s="61"/>
      <c r="N984" s="61"/>
      <c r="O984" s="61"/>
      <c r="P984" s="61"/>
      <c r="Q984" s="61"/>
      <c r="R984" s="61"/>
      <c r="S984" s="61"/>
      <c r="T984" s="61"/>
      <c r="U984" s="61"/>
      <c r="V984" s="61"/>
      <c r="W984" s="61"/>
      <c r="X984" s="61"/>
      <c r="Y984" s="61"/>
      <c r="Z984" s="61"/>
    </row>
    <row r="985" spans="1:26" ht="13">
      <c r="A985" s="61"/>
      <c r="B985" s="61"/>
      <c r="C985" s="61"/>
      <c r="D985" s="61"/>
      <c r="E985" s="61"/>
      <c r="F985" s="61"/>
      <c r="G985" s="179"/>
      <c r="H985" s="61"/>
      <c r="I985" s="61"/>
      <c r="J985" s="61"/>
      <c r="K985" s="61"/>
      <c r="L985" s="61"/>
      <c r="M985" s="61"/>
      <c r="N985" s="61"/>
      <c r="O985" s="61"/>
      <c r="P985" s="61"/>
      <c r="Q985" s="61"/>
      <c r="R985" s="61"/>
      <c r="S985" s="61"/>
      <c r="T985" s="61"/>
      <c r="U985" s="61"/>
      <c r="V985" s="61"/>
      <c r="W985" s="61"/>
      <c r="X985" s="61"/>
      <c r="Y985" s="61"/>
      <c r="Z985" s="61"/>
    </row>
    <row r="986" spans="1:26" ht="13">
      <c r="A986" s="61"/>
      <c r="B986" s="61"/>
      <c r="C986" s="61"/>
      <c r="D986" s="61"/>
      <c r="E986" s="61"/>
      <c r="F986" s="61"/>
      <c r="G986" s="179"/>
      <c r="H986" s="61"/>
      <c r="I986" s="61"/>
      <c r="J986" s="61"/>
      <c r="K986" s="61"/>
      <c r="L986" s="61"/>
      <c r="M986" s="61"/>
      <c r="N986" s="61"/>
      <c r="O986" s="61"/>
      <c r="P986" s="61"/>
      <c r="Q986" s="61"/>
      <c r="R986" s="61"/>
      <c r="S986" s="61"/>
      <c r="T986" s="61"/>
      <c r="U986" s="61"/>
      <c r="V986" s="61"/>
      <c r="W986" s="61"/>
      <c r="X986" s="61"/>
      <c r="Y986" s="61"/>
      <c r="Z986" s="61"/>
    </row>
    <row r="987" spans="1:26" ht="13">
      <c r="A987" s="61"/>
      <c r="B987" s="61"/>
      <c r="C987" s="61"/>
      <c r="D987" s="61"/>
      <c r="E987" s="61"/>
      <c r="F987" s="61"/>
      <c r="G987" s="179"/>
      <c r="H987" s="61"/>
      <c r="I987" s="61"/>
      <c r="J987" s="61"/>
      <c r="K987" s="61"/>
      <c r="L987" s="61"/>
      <c r="M987" s="61"/>
      <c r="N987" s="61"/>
      <c r="O987" s="61"/>
      <c r="P987" s="61"/>
      <c r="Q987" s="61"/>
      <c r="R987" s="61"/>
      <c r="S987" s="61"/>
      <c r="T987" s="61"/>
      <c r="U987" s="61"/>
      <c r="V987" s="61"/>
      <c r="W987" s="61"/>
      <c r="X987" s="61"/>
      <c r="Y987" s="61"/>
      <c r="Z987" s="61"/>
    </row>
    <row r="988" spans="1:26" ht="13">
      <c r="A988" s="61"/>
      <c r="B988" s="61"/>
      <c r="C988" s="61"/>
      <c r="D988" s="61"/>
      <c r="E988" s="61"/>
      <c r="F988" s="61"/>
      <c r="G988" s="179"/>
      <c r="H988" s="61"/>
      <c r="I988" s="61"/>
      <c r="J988" s="61"/>
      <c r="K988" s="61"/>
      <c r="L988" s="61"/>
      <c r="M988" s="61"/>
      <c r="N988" s="61"/>
      <c r="O988" s="61"/>
      <c r="P988" s="61"/>
      <c r="Q988" s="61"/>
      <c r="R988" s="61"/>
      <c r="S988" s="61"/>
      <c r="T988" s="61"/>
      <c r="U988" s="61"/>
      <c r="V988" s="61"/>
      <c r="W988" s="61"/>
      <c r="X988" s="61"/>
      <c r="Y988" s="61"/>
      <c r="Z988" s="61"/>
    </row>
    <row r="989" spans="1:26" ht="13">
      <c r="A989" s="61"/>
      <c r="B989" s="61"/>
      <c r="C989" s="61"/>
      <c r="D989" s="61"/>
      <c r="E989" s="61"/>
      <c r="F989" s="61"/>
      <c r="G989" s="179"/>
      <c r="H989" s="61"/>
      <c r="I989" s="61"/>
      <c r="J989" s="61"/>
      <c r="K989" s="61"/>
      <c r="L989" s="61"/>
      <c r="M989" s="61"/>
      <c r="N989" s="61"/>
      <c r="O989" s="61"/>
      <c r="P989" s="61"/>
      <c r="Q989" s="61"/>
      <c r="R989" s="61"/>
      <c r="S989" s="61"/>
      <c r="T989" s="61"/>
      <c r="U989" s="61"/>
      <c r="V989" s="61"/>
      <c r="W989" s="61"/>
      <c r="X989" s="61"/>
      <c r="Y989" s="61"/>
      <c r="Z989" s="61"/>
    </row>
    <row r="990" spans="1:26" ht="13">
      <c r="A990" s="61"/>
      <c r="B990" s="61"/>
      <c r="C990" s="61"/>
      <c r="D990" s="61"/>
      <c r="E990" s="61"/>
      <c r="F990" s="61"/>
      <c r="G990" s="179"/>
      <c r="H990" s="61"/>
      <c r="I990" s="61"/>
      <c r="J990" s="61"/>
      <c r="K990" s="61"/>
      <c r="L990" s="61"/>
      <c r="M990" s="61"/>
      <c r="N990" s="61"/>
      <c r="O990" s="61"/>
      <c r="P990" s="61"/>
      <c r="Q990" s="61"/>
      <c r="R990" s="61"/>
      <c r="S990" s="61"/>
      <c r="T990" s="61"/>
      <c r="U990" s="61"/>
      <c r="V990" s="61"/>
      <c r="W990" s="61"/>
      <c r="X990" s="61"/>
      <c r="Y990" s="61"/>
      <c r="Z990" s="61"/>
    </row>
    <row r="991" spans="1:26" ht="13">
      <c r="A991" s="61"/>
      <c r="B991" s="61"/>
      <c r="C991" s="61"/>
      <c r="D991" s="61"/>
      <c r="E991" s="61"/>
      <c r="F991" s="61"/>
      <c r="G991" s="179"/>
      <c r="H991" s="61"/>
      <c r="I991" s="61"/>
      <c r="J991" s="61"/>
      <c r="K991" s="61"/>
      <c r="L991" s="61"/>
      <c r="M991" s="61"/>
      <c r="N991" s="61"/>
      <c r="O991" s="61"/>
      <c r="P991" s="61"/>
      <c r="Q991" s="61"/>
      <c r="R991" s="61"/>
      <c r="S991" s="61"/>
      <c r="T991" s="61"/>
      <c r="U991" s="61"/>
      <c r="V991" s="61"/>
      <c r="W991" s="61"/>
      <c r="X991" s="61"/>
      <c r="Y991" s="61"/>
      <c r="Z991" s="61"/>
    </row>
    <row r="992" spans="1:26" ht="13">
      <c r="A992" s="61"/>
      <c r="B992" s="61"/>
      <c r="C992" s="61"/>
      <c r="D992" s="61"/>
      <c r="E992" s="61"/>
      <c r="F992" s="61"/>
      <c r="G992" s="179"/>
      <c r="H992" s="61"/>
      <c r="I992" s="61"/>
      <c r="J992" s="61"/>
      <c r="K992" s="61"/>
      <c r="L992" s="61"/>
      <c r="M992" s="61"/>
      <c r="N992" s="61"/>
      <c r="O992" s="61"/>
      <c r="P992" s="61"/>
      <c r="Q992" s="61"/>
      <c r="R992" s="61"/>
      <c r="S992" s="61"/>
      <c r="T992" s="61"/>
      <c r="U992" s="61"/>
      <c r="V992" s="61"/>
      <c r="W992" s="61"/>
      <c r="X992" s="61"/>
      <c r="Y992" s="61"/>
      <c r="Z992" s="61"/>
    </row>
    <row r="993" spans="1:26" ht="13">
      <c r="A993" s="61"/>
      <c r="B993" s="61"/>
      <c r="C993" s="61"/>
      <c r="D993" s="61"/>
      <c r="E993" s="61"/>
      <c r="F993" s="61"/>
      <c r="G993" s="179"/>
      <c r="H993" s="61"/>
      <c r="I993" s="61"/>
      <c r="J993" s="61"/>
      <c r="K993" s="61"/>
      <c r="L993" s="61"/>
      <c r="M993" s="61"/>
      <c r="N993" s="61"/>
      <c r="O993" s="61"/>
      <c r="P993" s="61"/>
      <c r="Q993" s="61"/>
      <c r="R993" s="61"/>
      <c r="S993" s="61"/>
      <c r="T993" s="61"/>
      <c r="U993" s="61"/>
      <c r="V993" s="61"/>
      <c r="W993" s="61"/>
      <c r="X993" s="61"/>
      <c r="Y993" s="61"/>
      <c r="Z993" s="61"/>
    </row>
    <row r="994" spans="1:26" ht="13">
      <c r="A994" s="61"/>
      <c r="B994" s="61"/>
      <c r="C994" s="61"/>
      <c r="D994" s="61"/>
      <c r="E994" s="61"/>
      <c r="F994" s="61"/>
      <c r="G994" s="179"/>
      <c r="H994" s="61"/>
      <c r="I994" s="61"/>
      <c r="J994" s="61"/>
      <c r="K994" s="61"/>
      <c r="L994" s="61"/>
      <c r="M994" s="61"/>
      <c r="N994" s="61"/>
      <c r="O994" s="61"/>
      <c r="P994" s="61"/>
      <c r="Q994" s="61"/>
      <c r="R994" s="61"/>
      <c r="S994" s="61"/>
      <c r="T994" s="61"/>
      <c r="U994" s="61"/>
      <c r="V994" s="61"/>
      <c r="W994" s="61"/>
      <c r="X994" s="61"/>
      <c r="Y994" s="61"/>
      <c r="Z994" s="61"/>
    </row>
    <row r="995" spans="1:26" ht="13">
      <c r="A995" s="61"/>
      <c r="B995" s="61"/>
      <c r="C995" s="61"/>
      <c r="D995" s="61"/>
      <c r="E995" s="61"/>
      <c r="F995" s="61"/>
      <c r="G995" s="179"/>
      <c r="H995" s="61"/>
      <c r="I995" s="61"/>
      <c r="J995" s="61"/>
      <c r="K995" s="61"/>
      <c r="L995" s="61"/>
      <c r="M995" s="61"/>
      <c r="N995" s="61"/>
      <c r="O995" s="61"/>
      <c r="P995" s="61"/>
      <c r="Q995" s="61"/>
      <c r="R995" s="61"/>
      <c r="S995" s="61"/>
      <c r="T995" s="61"/>
      <c r="U995" s="61"/>
      <c r="V995" s="61"/>
      <c r="W995" s="61"/>
      <c r="X995" s="61"/>
      <c r="Y995" s="61"/>
      <c r="Z995" s="61"/>
    </row>
    <row r="996" spans="1:26" ht="13">
      <c r="A996" s="61"/>
      <c r="B996" s="61"/>
      <c r="C996" s="61"/>
      <c r="D996" s="61"/>
      <c r="E996" s="61"/>
      <c r="F996" s="61"/>
      <c r="G996" s="179"/>
      <c r="H996" s="61"/>
      <c r="I996" s="61"/>
      <c r="J996" s="61"/>
      <c r="K996" s="61"/>
      <c r="L996" s="61"/>
      <c r="M996" s="61"/>
      <c r="N996" s="61"/>
      <c r="O996" s="61"/>
      <c r="P996" s="61"/>
      <c r="Q996" s="61"/>
      <c r="R996" s="61"/>
      <c r="S996" s="61"/>
      <c r="T996" s="61"/>
      <c r="U996" s="61"/>
      <c r="V996" s="61"/>
      <c r="W996" s="61"/>
      <c r="X996" s="61"/>
      <c r="Y996" s="61"/>
      <c r="Z996" s="61"/>
    </row>
    <row r="997" spans="1:26" ht="13">
      <c r="A997" s="61"/>
      <c r="B997" s="61"/>
      <c r="C997" s="61"/>
      <c r="D997" s="61"/>
      <c r="E997" s="61"/>
      <c r="F997" s="61"/>
      <c r="G997" s="179"/>
      <c r="H997" s="61"/>
      <c r="I997" s="61"/>
      <c r="J997" s="61"/>
      <c r="K997" s="61"/>
      <c r="L997" s="61"/>
      <c r="M997" s="61"/>
      <c r="N997" s="61"/>
      <c r="O997" s="61"/>
      <c r="P997" s="61"/>
      <c r="Q997" s="61"/>
      <c r="R997" s="61"/>
      <c r="S997" s="61"/>
      <c r="T997" s="61"/>
      <c r="U997" s="61"/>
      <c r="V997" s="61"/>
      <c r="W997" s="61"/>
      <c r="X997" s="61"/>
      <c r="Y997" s="61"/>
      <c r="Z997" s="61"/>
    </row>
    <row r="998" spans="1:26" ht="13">
      <c r="A998" s="61"/>
      <c r="B998" s="61"/>
      <c r="C998" s="61"/>
      <c r="D998" s="61"/>
      <c r="E998" s="61"/>
      <c r="F998" s="61"/>
      <c r="G998" s="179"/>
      <c r="H998" s="61"/>
      <c r="I998" s="61"/>
      <c r="J998" s="61"/>
      <c r="K998" s="61"/>
      <c r="L998" s="61"/>
      <c r="M998" s="61"/>
      <c r="N998" s="61"/>
      <c r="O998" s="61"/>
      <c r="P998" s="61"/>
      <c r="Q998" s="61"/>
      <c r="R998" s="61"/>
      <c r="S998" s="61"/>
      <c r="T998" s="61"/>
      <c r="U998" s="61"/>
      <c r="V998" s="61"/>
      <c r="W998" s="61"/>
      <c r="X998" s="61"/>
      <c r="Y998" s="61"/>
      <c r="Z998" s="61"/>
    </row>
    <row r="999" spans="1:26" ht="13">
      <c r="A999" s="61"/>
      <c r="B999" s="61"/>
      <c r="C999" s="61"/>
      <c r="D999" s="61"/>
      <c r="E999" s="61"/>
      <c r="F999" s="61"/>
      <c r="G999" s="179"/>
      <c r="H999" s="61"/>
      <c r="I999" s="61"/>
      <c r="J999" s="61"/>
      <c r="K999" s="61"/>
      <c r="L999" s="61"/>
      <c r="M999" s="61"/>
      <c r="N999" s="61"/>
      <c r="O999" s="61"/>
      <c r="P999" s="61"/>
      <c r="Q999" s="61"/>
      <c r="R999" s="61"/>
      <c r="S999" s="61"/>
      <c r="T999" s="61"/>
      <c r="U999" s="61"/>
      <c r="V999" s="61"/>
      <c r="W999" s="61"/>
      <c r="X999" s="61"/>
      <c r="Y999" s="61"/>
      <c r="Z999" s="61"/>
    </row>
    <row r="1000" spans="1:26" ht="13">
      <c r="A1000" s="61"/>
      <c r="B1000" s="61"/>
      <c r="C1000" s="61"/>
      <c r="D1000" s="61"/>
      <c r="E1000" s="61"/>
      <c r="F1000" s="61"/>
      <c r="G1000" s="179"/>
      <c r="H1000" s="61"/>
      <c r="I1000" s="61"/>
      <c r="J1000" s="61"/>
      <c r="K1000" s="61"/>
      <c r="L1000" s="61"/>
      <c r="M1000" s="61"/>
      <c r="N1000" s="61"/>
      <c r="O1000" s="61"/>
      <c r="P1000" s="61"/>
      <c r="Q1000" s="61"/>
      <c r="R1000" s="61"/>
      <c r="S1000" s="61"/>
      <c r="T1000" s="61"/>
      <c r="U1000" s="61"/>
      <c r="V1000" s="61"/>
      <c r="W1000" s="61"/>
      <c r="X1000" s="61"/>
      <c r="Y1000" s="61"/>
      <c r="Z1000" s="61"/>
    </row>
    <row r="1001" spans="1:26" ht="13">
      <c r="A1001" s="61"/>
      <c r="B1001" s="61"/>
      <c r="C1001" s="61"/>
      <c r="D1001" s="61"/>
      <c r="E1001" s="61"/>
      <c r="F1001" s="61"/>
      <c r="G1001" s="179"/>
      <c r="H1001" s="61"/>
      <c r="I1001" s="61"/>
      <c r="J1001" s="61"/>
      <c r="K1001" s="61"/>
      <c r="L1001" s="61"/>
      <c r="M1001" s="61"/>
      <c r="N1001" s="61"/>
      <c r="O1001" s="61"/>
      <c r="P1001" s="61"/>
      <c r="Q1001" s="61"/>
      <c r="R1001" s="61"/>
      <c r="S1001" s="61"/>
      <c r="T1001" s="61"/>
      <c r="U1001" s="61"/>
      <c r="V1001" s="61"/>
      <c r="W1001" s="61"/>
      <c r="X1001" s="61"/>
      <c r="Y1001" s="61"/>
      <c r="Z1001" s="61"/>
    </row>
    <row r="1002" spans="1:26" ht="13">
      <c r="A1002" s="61"/>
      <c r="B1002" s="61"/>
      <c r="C1002" s="61"/>
      <c r="D1002" s="61"/>
      <c r="E1002" s="61"/>
      <c r="F1002" s="61"/>
      <c r="G1002" s="179"/>
      <c r="H1002" s="61"/>
      <c r="I1002" s="61"/>
      <c r="J1002" s="61"/>
      <c r="K1002" s="61"/>
      <c r="L1002" s="61"/>
      <c r="M1002" s="61"/>
      <c r="N1002" s="61"/>
      <c r="O1002" s="61"/>
      <c r="P1002" s="61"/>
      <c r="Q1002" s="61"/>
      <c r="R1002" s="61"/>
      <c r="S1002" s="61"/>
      <c r="T1002" s="61"/>
      <c r="U1002" s="61"/>
      <c r="V1002" s="61"/>
      <c r="W1002" s="61"/>
      <c r="X1002" s="61"/>
      <c r="Y1002" s="61"/>
      <c r="Z1002" s="61"/>
    </row>
    <row r="1003" spans="1:26" ht="13">
      <c r="A1003" s="61"/>
      <c r="B1003" s="61"/>
      <c r="C1003" s="61"/>
      <c r="D1003" s="61"/>
      <c r="E1003" s="61"/>
      <c r="F1003" s="61"/>
      <c r="G1003" s="179"/>
      <c r="H1003" s="61"/>
      <c r="I1003" s="61"/>
      <c r="J1003" s="61"/>
      <c r="K1003" s="61"/>
      <c r="L1003" s="61"/>
      <c r="M1003" s="61"/>
      <c r="N1003" s="61"/>
      <c r="O1003" s="61"/>
      <c r="P1003" s="61"/>
      <c r="Q1003" s="61"/>
      <c r="R1003" s="61"/>
      <c r="S1003" s="61"/>
      <c r="T1003" s="61"/>
      <c r="U1003" s="61"/>
      <c r="V1003" s="61"/>
      <c r="W1003" s="61"/>
      <c r="X1003" s="61"/>
      <c r="Y1003" s="61"/>
      <c r="Z1003" s="61"/>
    </row>
    <row r="1004" spans="1:26" ht="13">
      <c r="A1004" s="61"/>
      <c r="B1004" s="61"/>
      <c r="C1004" s="61"/>
      <c r="D1004" s="61"/>
      <c r="E1004" s="61"/>
      <c r="F1004" s="61"/>
      <c r="G1004" s="179"/>
      <c r="H1004" s="61"/>
      <c r="I1004" s="61"/>
      <c r="J1004" s="61"/>
      <c r="K1004" s="61"/>
      <c r="L1004" s="61"/>
      <c r="M1004" s="61"/>
      <c r="N1004" s="61"/>
      <c r="O1004" s="61"/>
      <c r="P1004" s="61"/>
      <c r="Q1004" s="61"/>
      <c r="R1004" s="61"/>
      <c r="S1004" s="61"/>
      <c r="T1004" s="61"/>
      <c r="U1004" s="61"/>
      <c r="V1004" s="61"/>
      <c r="W1004" s="61"/>
      <c r="X1004" s="61"/>
      <c r="Y1004" s="61"/>
      <c r="Z1004" s="61"/>
    </row>
    <row r="1005" spans="1:26" ht="13">
      <c r="A1005" s="61"/>
      <c r="B1005" s="61"/>
      <c r="C1005" s="61"/>
      <c r="D1005" s="61"/>
      <c r="E1005" s="61"/>
      <c r="F1005" s="61"/>
      <c r="G1005" s="179"/>
      <c r="H1005" s="61"/>
      <c r="I1005" s="61"/>
      <c r="J1005" s="61"/>
      <c r="K1005" s="61"/>
      <c r="L1005" s="61"/>
      <c r="M1005" s="61"/>
      <c r="N1005" s="61"/>
      <c r="O1005" s="61"/>
      <c r="P1005" s="61"/>
      <c r="Q1005" s="61"/>
      <c r="R1005" s="61"/>
      <c r="S1005" s="61"/>
      <c r="T1005" s="61"/>
      <c r="U1005" s="61"/>
      <c r="V1005" s="61"/>
      <c r="W1005" s="61"/>
      <c r="X1005" s="61"/>
      <c r="Y1005" s="61"/>
      <c r="Z1005" s="61"/>
    </row>
    <row r="1006" spans="1:26" ht="13">
      <c r="A1006" s="61"/>
      <c r="B1006" s="61"/>
      <c r="C1006" s="61"/>
      <c r="D1006" s="61"/>
      <c r="E1006" s="61"/>
      <c r="F1006" s="61"/>
      <c r="G1006" s="179"/>
      <c r="H1006" s="61"/>
      <c r="I1006" s="61"/>
      <c r="J1006" s="61"/>
      <c r="K1006" s="61"/>
      <c r="L1006" s="61"/>
      <c r="M1006" s="61"/>
      <c r="N1006" s="61"/>
      <c r="O1006" s="61"/>
      <c r="P1006" s="61"/>
      <c r="Q1006" s="61"/>
      <c r="R1006" s="61"/>
      <c r="S1006" s="61"/>
      <c r="T1006" s="61"/>
      <c r="U1006" s="61"/>
      <c r="V1006" s="61"/>
      <c r="W1006" s="61"/>
      <c r="X1006" s="61"/>
      <c r="Y1006" s="61"/>
      <c r="Z1006" s="61"/>
    </row>
    <row r="1007" spans="1:26" ht="13">
      <c r="A1007" s="61"/>
      <c r="B1007" s="61"/>
      <c r="C1007" s="61"/>
      <c r="D1007" s="61"/>
      <c r="E1007" s="61"/>
      <c r="F1007" s="61"/>
      <c r="G1007" s="179"/>
      <c r="H1007" s="61"/>
      <c r="I1007" s="61"/>
      <c r="J1007" s="61"/>
      <c r="K1007" s="61"/>
      <c r="L1007" s="61"/>
      <c r="M1007" s="61"/>
      <c r="N1007" s="61"/>
      <c r="O1007" s="61"/>
      <c r="P1007" s="61"/>
      <c r="Q1007" s="61"/>
      <c r="R1007" s="61"/>
      <c r="S1007" s="61"/>
      <c r="T1007" s="61"/>
      <c r="U1007" s="61"/>
      <c r="V1007" s="61"/>
      <c r="W1007" s="61"/>
      <c r="X1007" s="61"/>
      <c r="Y1007" s="61"/>
      <c r="Z1007" s="61"/>
    </row>
    <row r="1008" spans="1:26" ht="13">
      <c r="A1008" s="61"/>
      <c r="B1008" s="61"/>
      <c r="C1008" s="61"/>
      <c r="D1008" s="61"/>
      <c r="E1008" s="61"/>
      <c r="F1008" s="61"/>
      <c r="G1008" s="179"/>
      <c r="H1008" s="61"/>
      <c r="I1008" s="61"/>
      <c r="J1008" s="61"/>
      <c r="K1008" s="61"/>
      <c r="L1008" s="61"/>
      <c r="M1008" s="61"/>
      <c r="N1008" s="61"/>
      <c r="O1008" s="61"/>
      <c r="P1008" s="61"/>
      <c r="Q1008" s="61"/>
      <c r="R1008" s="61"/>
      <c r="S1008" s="61"/>
      <c r="T1008" s="61"/>
      <c r="U1008" s="61"/>
      <c r="V1008" s="61"/>
      <c r="W1008" s="61"/>
      <c r="X1008" s="61"/>
      <c r="Y1008" s="61"/>
      <c r="Z1008" s="61"/>
    </row>
    <row r="1009" spans="1:26" ht="13">
      <c r="A1009" s="61"/>
      <c r="B1009" s="61"/>
      <c r="C1009" s="61"/>
      <c r="D1009" s="61"/>
      <c r="E1009" s="61"/>
      <c r="F1009" s="61"/>
      <c r="G1009" s="179"/>
      <c r="H1009" s="61"/>
      <c r="I1009" s="61"/>
      <c r="J1009" s="61"/>
      <c r="K1009" s="61"/>
      <c r="L1009" s="61"/>
      <c r="M1009" s="61"/>
      <c r="N1009" s="61"/>
      <c r="O1009" s="61"/>
      <c r="P1009" s="61"/>
      <c r="Q1009" s="61"/>
      <c r="R1009" s="61"/>
      <c r="S1009" s="61"/>
      <c r="T1009" s="61"/>
      <c r="U1009" s="61"/>
      <c r="V1009" s="61"/>
      <c r="W1009" s="61"/>
      <c r="X1009" s="61"/>
      <c r="Y1009" s="61"/>
      <c r="Z1009" s="61"/>
    </row>
    <row r="1010" spans="1:26" ht="13">
      <c r="A1010" s="61"/>
      <c r="B1010" s="61"/>
      <c r="C1010" s="61"/>
      <c r="D1010" s="61"/>
      <c r="E1010" s="61"/>
      <c r="F1010" s="61"/>
      <c r="G1010" s="179"/>
      <c r="H1010" s="61"/>
      <c r="I1010" s="61"/>
      <c r="J1010" s="61"/>
      <c r="K1010" s="61"/>
      <c r="L1010" s="61"/>
      <c r="M1010" s="61"/>
      <c r="N1010" s="61"/>
      <c r="O1010" s="61"/>
      <c r="P1010" s="61"/>
      <c r="Q1010" s="61"/>
      <c r="R1010" s="61"/>
      <c r="S1010" s="61"/>
      <c r="T1010" s="61"/>
      <c r="U1010" s="61"/>
      <c r="V1010" s="61"/>
      <c r="W1010" s="61"/>
      <c r="X1010" s="61"/>
      <c r="Y1010" s="61"/>
      <c r="Z1010" s="61"/>
    </row>
    <row r="1011" spans="1:26" ht="13">
      <c r="A1011" s="61"/>
      <c r="B1011" s="61"/>
      <c r="C1011" s="61"/>
      <c r="D1011" s="61"/>
      <c r="E1011" s="61"/>
      <c r="F1011" s="61"/>
      <c r="G1011" s="179"/>
      <c r="H1011" s="61"/>
      <c r="I1011" s="61"/>
      <c r="J1011" s="61"/>
      <c r="K1011" s="61"/>
      <c r="L1011" s="61"/>
      <c r="M1011" s="61"/>
      <c r="N1011" s="61"/>
      <c r="O1011" s="61"/>
      <c r="P1011" s="61"/>
      <c r="Q1011" s="61"/>
      <c r="R1011" s="61"/>
      <c r="S1011" s="61"/>
      <c r="T1011" s="61"/>
      <c r="U1011" s="61"/>
      <c r="V1011" s="61"/>
      <c r="W1011" s="61"/>
      <c r="X1011" s="61"/>
      <c r="Y1011" s="61"/>
      <c r="Z1011" s="61"/>
    </row>
    <row r="1012" spans="1:26" ht="13">
      <c r="A1012" s="61"/>
      <c r="B1012" s="61"/>
      <c r="C1012" s="61"/>
      <c r="D1012" s="61"/>
      <c r="E1012" s="61"/>
      <c r="F1012" s="61"/>
      <c r="G1012" s="179"/>
      <c r="H1012" s="61"/>
      <c r="I1012" s="61"/>
      <c r="J1012" s="61"/>
      <c r="K1012" s="61"/>
      <c r="L1012" s="61"/>
      <c r="M1012" s="61"/>
      <c r="N1012" s="61"/>
      <c r="O1012" s="61"/>
      <c r="P1012" s="61"/>
      <c r="Q1012" s="61"/>
      <c r="R1012" s="61"/>
      <c r="S1012" s="61"/>
      <c r="T1012" s="61"/>
      <c r="U1012" s="61"/>
      <c r="V1012" s="61"/>
      <c r="W1012" s="61"/>
      <c r="X1012" s="61"/>
      <c r="Y1012" s="61"/>
      <c r="Z1012" s="61"/>
    </row>
    <row r="1013" spans="1:26" ht="13">
      <c r="A1013" s="61"/>
      <c r="B1013" s="61"/>
      <c r="C1013" s="61"/>
      <c r="D1013" s="61"/>
      <c r="E1013" s="61"/>
      <c r="F1013" s="61"/>
      <c r="G1013" s="179"/>
      <c r="H1013" s="61"/>
      <c r="I1013" s="61"/>
      <c r="J1013" s="61"/>
      <c r="K1013" s="61"/>
      <c r="L1013" s="61"/>
      <c r="M1013" s="61"/>
      <c r="N1013" s="61"/>
      <c r="O1013" s="61"/>
      <c r="P1013" s="61"/>
      <c r="Q1013" s="61"/>
      <c r="R1013" s="61"/>
      <c r="S1013" s="61"/>
      <c r="T1013" s="61"/>
      <c r="U1013" s="61"/>
      <c r="V1013" s="61"/>
      <c r="W1013" s="61"/>
      <c r="X1013" s="61"/>
      <c r="Y1013" s="61"/>
      <c r="Z1013" s="61"/>
    </row>
    <row r="1014" spans="1:26" ht="13">
      <c r="A1014" s="61"/>
      <c r="B1014" s="61"/>
      <c r="C1014" s="61"/>
      <c r="D1014" s="61"/>
      <c r="E1014" s="61"/>
      <c r="F1014" s="61"/>
      <c r="G1014" s="179"/>
      <c r="H1014" s="61"/>
      <c r="I1014" s="61"/>
      <c r="J1014" s="61"/>
      <c r="K1014" s="61"/>
      <c r="L1014" s="61"/>
      <c r="M1014" s="61"/>
      <c r="N1014" s="61"/>
      <c r="O1014" s="61"/>
      <c r="P1014" s="61"/>
      <c r="Q1014" s="61"/>
      <c r="R1014" s="61"/>
      <c r="S1014" s="61"/>
      <c r="T1014" s="61"/>
      <c r="U1014" s="61"/>
      <c r="V1014" s="61"/>
      <c r="W1014" s="61"/>
      <c r="X1014" s="61"/>
      <c r="Y1014" s="61"/>
      <c r="Z1014" s="61"/>
    </row>
    <row r="1015" spans="1:26" ht="13">
      <c r="A1015" s="61"/>
      <c r="B1015" s="61"/>
      <c r="C1015" s="61"/>
      <c r="D1015" s="61"/>
      <c r="E1015" s="61"/>
      <c r="F1015" s="61"/>
      <c r="G1015" s="179"/>
      <c r="H1015" s="61"/>
      <c r="I1015" s="61"/>
      <c r="J1015" s="61"/>
      <c r="K1015" s="61"/>
      <c r="L1015" s="61"/>
      <c r="M1015" s="61"/>
      <c r="N1015" s="61"/>
      <c r="O1015" s="61"/>
      <c r="P1015" s="61"/>
      <c r="Q1015" s="61"/>
      <c r="R1015" s="61"/>
      <c r="S1015" s="61"/>
      <c r="T1015" s="61"/>
      <c r="U1015" s="61"/>
      <c r="V1015" s="61"/>
      <c r="W1015" s="61"/>
      <c r="X1015" s="61"/>
      <c r="Y1015" s="61"/>
      <c r="Z1015" s="61"/>
    </row>
    <row r="1016" spans="1:26" ht="13">
      <c r="A1016" s="61"/>
      <c r="B1016" s="61"/>
      <c r="C1016" s="61"/>
      <c r="D1016" s="61"/>
      <c r="E1016" s="61"/>
      <c r="F1016" s="61"/>
      <c r="G1016" s="179"/>
      <c r="H1016" s="61"/>
      <c r="I1016" s="61"/>
      <c r="J1016" s="61"/>
      <c r="K1016" s="61"/>
      <c r="L1016" s="61"/>
      <c r="M1016" s="61"/>
      <c r="N1016" s="61"/>
      <c r="O1016" s="61"/>
      <c r="P1016" s="61"/>
      <c r="Q1016" s="61"/>
      <c r="R1016" s="61"/>
      <c r="S1016" s="61"/>
      <c r="T1016" s="61"/>
      <c r="U1016" s="61"/>
      <c r="V1016" s="61"/>
      <c r="W1016" s="61"/>
      <c r="X1016" s="61"/>
      <c r="Y1016" s="61"/>
      <c r="Z1016" s="61"/>
    </row>
    <row r="1017" spans="1:26" ht="13">
      <c r="A1017" s="61"/>
      <c r="B1017" s="61"/>
      <c r="C1017" s="61"/>
      <c r="D1017" s="61"/>
      <c r="E1017" s="61"/>
      <c r="F1017" s="61"/>
      <c r="G1017" s="179"/>
      <c r="H1017" s="61"/>
      <c r="I1017" s="61"/>
      <c r="J1017" s="61"/>
      <c r="K1017" s="61"/>
      <c r="L1017" s="61"/>
      <c r="M1017" s="61"/>
      <c r="N1017" s="61"/>
      <c r="O1017" s="61"/>
      <c r="P1017" s="61"/>
      <c r="Q1017" s="61"/>
      <c r="R1017" s="61"/>
      <c r="S1017" s="61"/>
      <c r="T1017" s="61"/>
      <c r="U1017" s="61"/>
      <c r="V1017" s="61"/>
      <c r="W1017" s="61"/>
      <c r="X1017" s="61"/>
      <c r="Y1017" s="61"/>
      <c r="Z1017" s="61"/>
    </row>
    <row r="1018" spans="1:26" ht="13">
      <c r="A1018" s="61"/>
      <c r="B1018" s="61"/>
      <c r="C1018" s="61"/>
      <c r="D1018" s="61"/>
      <c r="E1018" s="61"/>
      <c r="F1018" s="61"/>
      <c r="G1018" s="179"/>
      <c r="H1018" s="61"/>
      <c r="I1018" s="61"/>
      <c r="J1018" s="61"/>
      <c r="K1018" s="61"/>
      <c r="L1018" s="61"/>
      <c r="M1018" s="61"/>
      <c r="N1018" s="61"/>
      <c r="O1018" s="61"/>
      <c r="P1018" s="61"/>
      <c r="Q1018" s="61"/>
      <c r="R1018" s="61"/>
      <c r="S1018" s="61"/>
      <c r="T1018" s="61"/>
      <c r="U1018" s="61"/>
      <c r="V1018" s="61"/>
      <c r="W1018" s="61"/>
      <c r="X1018" s="61"/>
      <c r="Y1018" s="61"/>
      <c r="Z1018" s="61"/>
    </row>
    <row r="1019" spans="1:26" ht="13">
      <c r="B1019" s="61"/>
      <c r="G1019" s="179"/>
      <c r="I1019" s="49"/>
    </row>
    <row r="1020" spans="1:26" ht="13">
      <c r="B1020" s="61"/>
      <c r="G1020" s="179"/>
      <c r="I1020" s="49"/>
    </row>
    <row r="1021" spans="1:26" ht="13">
      <c r="B1021" s="61"/>
      <c r="G1021" s="179"/>
      <c r="I1021" s="49"/>
    </row>
    <row r="1022" spans="1:26" ht="13">
      <c r="B1022" s="61"/>
      <c r="G1022" s="179"/>
      <c r="I1022" s="49"/>
    </row>
    <row r="1023" spans="1:26" ht="13">
      <c r="A1023" s="18"/>
      <c r="B1023" s="52"/>
      <c r="C1023" s="52"/>
      <c r="D1023" s="24"/>
      <c r="E1023" s="24"/>
      <c r="F1023" s="24"/>
      <c r="G1023" s="325"/>
      <c r="H1023" s="24"/>
      <c r="I1023" s="61"/>
      <c r="J1023" s="61"/>
      <c r="K1023" s="61"/>
      <c r="L1023" s="61"/>
      <c r="M1023" s="61"/>
      <c r="N1023" s="61"/>
      <c r="O1023" s="61"/>
      <c r="P1023" s="61"/>
      <c r="Q1023" s="61"/>
      <c r="R1023" s="61"/>
      <c r="S1023" s="61"/>
      <c r="T1023" s="61"/>
      <c r="U1023" s="61"/>
      <c r="V1023" s="61"/>
      <c r="W1023" s="61"/>
      <c r="X1023" s="61"/>
      <c r="Y1023" s="61"/>
      <c r="Z1023" s="61"/>
    </row>
    <row r="1024" spans="1:26" ht="13">
      <c r="A1024" s="326"/>
      <c r="B1024" s="52"/>
      <c r="C1024" s="52"/>
      <c r="D1024" s="24"/>
      <c r="E1024" s="24"/>
      <c r="F1024" s="24"/>
      <c r="G1024" s="325"/>
      <c r="H1024" s="24"/>
      <c r="I1024" s="61"/>
      <c r="J1024" s="61"/>
      <c r="K1024" s="61"/>
      <c r="L1024" s="61"/>
      <c r="M1024" s="61"/>
      <c r="N1024" s="61"/>
      <c r="O1024" s="61"/>
      <c r="P1024" s="61"/>
      <c r="Q1024" s="61"/>
      <c r="R1024" s="61"/>
      <c r="S1024" s="61"/>
      <c r="T1024" s="61"/>
      <c r="U1024" s="61"/>
      <c r="V1024" s="61"/>
      <c r="W1024" s="61"/>
      <c r="X1024" s="61"/>
      <c r="Y1024" s="61"/>
      <c r="Z1024" s="61"/>
    </row>
    <row r="1025" spans="1:26" ht="13">
      <c r="A1025" s="326"/>
      <c r="B1025" s="52"/>
      <c r="C1025" s="52"/>
      <c r="D1025" s="24"/>
      <c r="E1025" s="24"/>
      <c r="F1025" s="24"/>
      <c r="G1025" s="325"/>
      <c r="H1025" s="24"/>
      <c r="I1025" s="61"/>
      <c r="J1025" s="61"/>
      <c r="K1025" s="61"/>
      <c r="L1025" s="61"/>
      <c r="M1025" s="61"/>
      <c r="N1025" s="61"/>
      <c r="O1025" s="61"/>
      <c r="P1025" s="61"/>
      <c r="Q1025" s="61"/>
      <c r="R1025" s="61"/>
      <c r="S1025" s="61"/>
      <c r="T1025" s="61"/>
      <c r="U1025" s="61"/>
      <c r="V1025" s="61"/>
      <c r="W1025" s="61"/>
      <c r="X1025" s="61"/>
      <c r="Y1025" s="61"/>
      <c r="Z1025" s="61"/>
    </row>
    <row r="1026" spans="1:26" ht="13">
      <c r="A1026" s="61"/>
      <c r="B1026" s="52"/>
      <c r="C1026" s="52"/>
      <c r="D1026" s="61"/>
      <c r="E1026" s="61"/>
      <c r="F1026" s="61"/>
      <c r="G1026" s="179"/>
      <c r="H1026" s="61"/>
      <c r="I1026" s="61"/>
      <c r="J1026" s="61"/>
      <c r="K1026" s="61"/>
      <c r="L1026" s="61"/>
      <c r="M1026" s="61"/>
      <c r="N1026" s="61"/>
      <c r="O1026" s="61"/>
      <c r="P1026" s="61"/>
      <c r="Q1026" s="61"/>
      <c r="R1026" s="61"/>
      <c r="S1026" s="61"/>
      <c r="T1026" s="61"/>
      <c r="U1026" s="61"/>
      <c r="V1026" s="61"/>
      <c r="W1026" s="61"/>
      <c r="X1026" s="61"/>
      <c r="Y1026" s="61"/>
      <c r="Z1026" s="61"/>
    </row>
    <row r="1027" spans="1:26" ht="13">
      <c r="A1027" s="61"/>
      <c r="B1027" s="61"/>
      <c r="C1027" s="61"/>
      <c r="D1027" s="61"/>
      <c r="E1027" s="61"/>
      <c r="F1027" s="61"/>
      <c r="G1027" s="179"/>
      <c r="H1027" s="61"/>
      <c r="I1027" s="61"/>
      <c r="J1027" s="61"/>
      <c r="K1027" s="61"/>
      <c r="L1027" s="61"/>
      <c r="M1027" s="61"/>
      <c r="N1027" s="61"/>
      <c r="O1027" s="61"/>
      <c r="P1027" s="61"/>
      <c r="Q1027" s="61"/>
      <c r="R1027" s="61"/>
      <c r="S1027" s="61"/>
      <c r="T1027" s="61"/>
      <c r="U1027" s="61"/>
      <c r="V1027" s="61"/>
      <c r="W1027" s="61"/>
      <c r="X1027" s="61"/>
      <c r="Y1027" s="61"/>
      <c r="Z1027" s="61"/>
    </row>
    <row r="1028" spans="1:26" ht="13">
      <c r="A1028" s="61"/>
      <c r="B1028" s="61"/>
      <c r="C1028" s="61"/>
      <c r="D1028" s="61"/>
      <c r="E1028" s="61"/>
      <c r="F1028" s="61"/>
      <c r="G1028" s="179"/>
      <c r="H1028" s="61"/>
      <c r="I1028" s="61"/>
      <c r="J1028" s="61"/>
      <c r="K1028" s="61"/>
      <c r="L1028" s="61"/>
      <c r="M1028" s="61"/>
      <c r="N1028" s="61"/>
      <c r="O1028" s="61"/>
      <c r="P1028" s="61"/>
      <c r="Q1028" s="61"/>
      <c r="R1028" s="61"/>
      <c r="S1028" s="61"/>
      <c r="T1028" s="61"/>
      <c r="U1028" s="61"/>
      <c r="V1028" s="61"/>
      <c r="W1028" s="61"/>
      <c r="X1028" s="61"/>
      <c r="Y1028" s="61"/>
      <c r="Z1028" s="61"/>
    </row>
    <row r="1029" spans="1:26" ht="13">
      <c r="A1029" s="61"/>
      <c r="B1029" s="61"/>
      <c r="C1029" s="61"/>
      <c r="D1029" s="61"/>
      <c r="E1029" s="61"/>
      <c r="F1029" s="61"/>
      <c r="G1029" s="179"/>
      <c r="H1029" s="61"/>
      <c r="I1029" s="61"/>
      <c r="J1029" s="61"/>
      <c r="K1029" s="61"/>
      <c r="L1029" s="61"/>
      <c r="M1029" s="61"/>
      <c r="N1029" s="61"/>
      <c r="O1029" s="61"/>
      <c r="P1029" s="61"/>
      <c r="Q1029" s="61"/>
      <c r="R1029" s="61"/>
      <c r="S1029" s="61"/>
      <c r="T1029" s="61"/>
      <c r="U1029" s="61"/>
      <c r="V1029" s="61"/>
      <c r="W1029" s="61"/>
      <c r="X1029" s="61"/>
      <c r="Y1029" s="61"/>
      <c r="Z1029" s="61"/>
    </row>
    <row r="1030" spans="1:26" ht="13">
      <c r="A1030" s="61"/>
      <c r="B1030" s="61"/>
      <c r="C1030" s="61"/>
      <c r="D1030" s="61"/>
      <c r="E1030" s="61"/>
      <c r="F1030" s="61"/>
      <c r="G1030" s="179"/>
      <c r="H1030" s="61"/>
      <c r="I1030" s="61"/>
      <c r="J1030" s="61"/>
      <c r="K1030" s="61"/>
      <c r="L1030" s="61"/>
      <c r="M1030" s="61"/>
      <c r="N1030" s="61"/>
      <c r="O1030" s="61"/>
      <c r="P1030" s="61"/>
      <c r="Q1030" s="61"/>
      <c r="R1030" s="61"/>
      <c r="S1030" s="61"/>
      <c r="T1030" s="61"/>
      <c r="U1030" s="61"/>
      <c r="V1030" s="61"/>
      <c r="W1030" s="61"/>
      <c r="X1030" s="61"/>
      <c r="Y1030" s="61"/>
      <c r="Z1030" s="61"/>
    </row>
    <row r="1031" spans="1:26" ht="13">
      <c r="A1031" s="61"/>
      <c r="B1031" s="61"/>
      <c r="C1031" s="61"/>
      <c r="D1031" s="61"/>
      <c r="E1031" s="61"/>
      <c r="F1031" s="61"/>
      <c r="G1031" s="179"/>
      <c r="H1031" s="61"/>
      <c r="I1031" s="61"/>
      <c r="J1031" s="61"/>
      <c r="K1031" s="61"/>
      <c r="L1031" s="61"/>
      <c r="M1031" s="61"/>
      <c r="N1031" s="61"/>
      <c r="O1031" s="61"/>
      <c r="P1031" s="61"/>
      <c r="Q1031" s="61"/>
      <c r="R1031" s="61"/>
      <c r="S1031" s="61"/>
      <c r="T1031" s="61"/>
      <c r="U1031" s="61"/>
      <c r="V1031" s="61"/>
      <c r="W1031" s="61"/>
      <c r="X1031" s="61"/>
      <c r="Y1031" s="61"/>
      <c r="Z1031" s="61"/>
    </row>
    <row r="1032" spans="1:26" ht="13">
      <c r="A1032" s="61"/>
      <c r="B1032" s="61"/>
      <c r="C1032" s="61"/>
      <c r="D1032" s="61"/>
      <c r="E1032" s="61"/>
      <c r="F1032" s="61"/>
      <c r="G1032" s="179"/>
      <c r="H1032" s="61"/>
      <c r="I1032" s="61"/>
      <c r="J1032" s="61"/>
      <c r="K1032" s="61"/>
      <c r="L1032" s="61"/>
      <c r="M1032" s="61"/>
      <c r="N1032" s="61"/>
      <c r="O1032" s="61"/>
      <c r="P1032" s="61"/>
      <c r="Q1032" s="61"/>
      <c r="R1032" s="61"/>
      <c r="S1032" s="61"/>
      <c r="T1032" s="61"/>
      <c r="U1032" s="61"/>
      <c r="V1032" s="61"/>
      <c r="W1032" s="61"/>
      <c r="X1032" s="61"/>
      <c r="Y1032" s="61"/>
      <c r="Z1032" s="61"/>
    </row>
    <row r="1033" spans="1:26" ht="13">
      <c r="A1033" s="61"/>
      <c r="B1033" s="61"/>
      <c r="C1033" s="61"/>
      <c r="D1033" s="61"/>
      <c r="E1033" s="61"/>
      <c r="F1033" s="61"/>
      <c r="G1033" s="179"/>
      <c r="H1033" s="61"/>
      <c r="I1033" s="61"/>
      <c r="J1033" s="61"/>
      <c r="K1033" s="61"/>
      <c r="L1033" s="61"/>
      <c r="M1033" s="61"/>
      <c r="N1033" s="61"/>
      <c r="O1033" s="61"/>
      <c r="P1033" s="61"/>
      <c r="Q1033" s="61"/>
      <c r="R1033" s="61"/>
      <c r="S1033" s="61"/>
      <c r="T1033" s="61"/>
      <c r="U1033" s="61"/>
      <c r="V1033" s="61"/>
      <c r="W1033" s="61"/>
      <c r="X1033" s="61"/>
      <c r="Y1033" s="61"/>
      <c r="Z1033" s="61"/>
    </row>
    <row r="1034" spans="1:26" ht="13">
      <c r="A1034" s="61"/>
      <c r="B1034" s="61"/>
      <c r="C1034" s="61"/>
      <c r="D1034" s="61"/>
      <c r="E1034" s="61"/>
      <c r="F1034" s="61"/>
      <c r="G1034" s="179"/>
      <c r="H1034" s="61"/>
      <c r="I1034" s="61"/>
      <c r="J1034" s="61"/>
      <c r="K1034" s="61"/>
      <c r="L1034" s="61"/>
      <c r="M1034" s="61"/>
      <c r="N1034" s="61"/>
      <c r="O1034" s="61"/>
      <c r="P1034" s="61"/>
      <c r="Q1034" s="61"/>
      <c r="R1034" s="61"/>
      <c r="S1034" s="61"/>
      <c r="T1034" s="61"/>
      <c r="U1034" s="61"/>
      <c r="V1034" s="61"/>
      <c r="W1034" s="61"/>
      <c r="X1034" s="61"/>
      <c r="Y1034" s="61"/>
      <c r="Z1034" s="61"/>
    </row>
    <row r="1035" spans="1:26" ht="13">
      <c r="A1035" s="61"/>
      <c r="B1035" s="61"/>
      <c r="C1035" s="61"/>
      <c r="D1035" s="61"/>
      <c r="E1035" s="61"/>
      <c r="F1035" s="61"/>
      <c r="G1035" s="179"/>
      <c r="H1035" s="61"/>
      <c r="I1035" s="61"/>
      <c r="J1035" s="61"/>
      <c r="K1035" s="61"/>
      <c r="L1035" s="61"/>
      <c r="M1035" s="61"/>
      <c r="N1035" s="61"/>
      <c r="O1035" s="61"/>
      <c r="P1035" s="61"/>
      <c r="Q1035" s="61"/>
      <c r="R1035" s="61"/>
      <c r="S1035" s="61"/>
      <c r="T1035" s="61"/>
      <c r="U1035" s="61"/>
      <c r="V1035" s="61"/>
      <c r="W1035" s="61"/>
      <c r="X1035" s="61"/>
      <c r="Y1035" s="61"/>
      <c r="Z1035" s="61"/>
    </row>
    <row r="1036" spans="1:26" ht="13">
      <c r="A1036" s="61"/>
      <c r="B1036" s="61"/>
      <c r="C1036" s="61"/>
      <c r="D1036" s="61"/>
      <c r="E1036" s="61"/>
      <c r="F1036" s="61"/>
      <c r="G1036" s="179"/>
      <c r="H1036" s="61"/>
      <c r="I1036" s="61"/>
      <c r="J1036" s="61"/>
      <c r="K1036" s="61"/>
      <c r="L1036" s="61"/>
      <c r="M1036" s="61"/>
      <c r="N1036" s="61"/>
      <c r="O1036" s="61"/>
      <c r="P1036" s="61"/>
      <c r="Q1036" s="61"/>
      <c r="R1036" s="61"/>
      <c r="S1036" s="61"/>
      <c r="T1036" s="61"/>
      <c r="U1036" s="61"/>
      <c r="V1036" s="61"/>
      <c r="W1036" s="61"/>
      <c r="X1036" s="61"/>
      <c r="Y1036" s="61"/>
      <c r="Z1036" s="61"/>
    </row>
    <row r="1037" spans="1:26" ht="13">
      <c r="A1037" s="61"/>
      <c r="B1037" s="61"/>
      <c r="C1037" s="61"/>
      <c r="D1037" s="61"/>
      <c r="E1037" s="61"/>
      <c r="F1037" s="61"/>
      <c r="G1037" s="179"/>
      <c r="H1037" s="61"/>
      <c r="I1037" s="61"/>
      <c r="J1037" s="61"/>
      <c r="K1037" s="61"/>
      <c r="L1037" s="61"/>
      <c r="M1037" s="61"/>
      <c r="N1037" s="61"/>
      <c r="O1037" s="61"/>
      <c r="P1037" s="61"/>
      <c r="Q1037" s="61"/>
      <c r="R1037" s="61"/>
      <c r="S1037" s="61"/>
      <c r="T1037" s="61"/>
      <c r="U1037" s="61"/>
      <c r="V1037" s="61"/>
      <c r="W1037" s="61"/>
      <c r="X1037" s="61"/>
      <c r="Y1037" s="61"/>
      <c r="Z1037" s="61"/>
    </row>
    <row r="1038" spans="1:26" ht="13">
      <c r="A1038" s="61"/>
      <c r="B1038" s="61"/>
      <c r="C1038" s="61"/>
      <c r="D1038" s="61"/>
      <c r="E1038" s="61"/>
      <c r="F1038" s="61"/>
      <c r="G1038" s="179"/>
      <c r="H1038" s="61"/>
      <c r="I1038" s="61"/>
      <c r="J1038" s="61"/>
      <c r="K1038" s="61"/>
      <c r="L1038" s="61"/>
      <c r="M1038" s="61"/>
      <c r="N1038" s="61"/>
      <c r="O1038" s="61"/>
      <c r="P1038" s="61"/>
      <c r="Q1038" s="61"/>
      <c r="R1038" s="61"/>
      <c r="S1038" s="61"/>
      <c r="T1038" s="61"/>
      <c r="U1038" s="61"/>
      <c r="V1038" s="61"/>
      <c r="W1038" s="61"/>
      <c r="X1038" s="61"/>
      <c r="Y1038" s="61"/>
      <c r="Z1038" s="61"/>
    </row>
    <row r="1039" spans="1:26" ht="13">
      <c r="A1039" s="61"/>
      <c r="B1039" s="61"/>
      <c r="C1039" s="61"/>
      <c r="D1039" s="61"/>
      <c r="E1039" s="61"/>
      <c r="F1039" s="61"/>
      <c r="G1039" s="179"/>
      <c r="H1039" s="61"/>
      <c r="I1039" s="61"/>
      <c r="J1039" s="61"/>
      <c r="K1039" s="61"/>
      <c r="L1039" s="61"/>
      <c r="M1039" s="61"/>
      <c r="N1039" s="61"/>
      <c r="O1039" s="61"/>
      <c r="P1039" s="61"/>
      <c r="Q1039" s="61"/>
      <c r="R1039" s="61"/>
      <c r="S1039" s="61"/>
      <c r="T1039" s="61"/>
      <c r="U1039" s="61"/>
      <c r="V1039" s="61"/>
      <c r="W1039" s="61"/>
      <c r="X1039" s="61"/>
      <c r="Y1039" s="61"/>
      <c r="Z1039" s="61"/>
    </row>
    <row r="1040" spans="1:26" ht="13">
      <c r="A1040" s="61"/>
      <c r="B1040" s="61"/>
      <c r="C1040" s="61"/>
      <c r="D1040" s="61"/>
      <c r="E1040" s="61"/>
      <c r="F1040" s="61"/>
      <c r="G1040" s="179"/>
      <c r="H1040" s="61"/>
      <c r="I1040" s="61"/>
      <c r="J1040" s="61"/>
      <c r="K1040" s="61"/>
      <c r="L1040" s="61"/>
      <c r="M1040" s="61"/>
      <c r="N1040" s="61"/>
      <c r="O1040" s="61"/>
      <c r="P1040" s="61"/>
      <c r="Q1040" s="61"/>
      <c r="R1040" s="61"/>
      <c r="S1040" s="61"/>
      <c r="T1040" s="61"/>
      <c r="U1040" s="61"/>
      <c r="V1040" s="61"/>
      <c r="W1040" s="61"/>
      <c r="X1040" s="61"/>
      <c r="Y1040" s="61"/>
      <c r="Z1040" s="61"/>
    </row>
    <row r="1041" spans="1:26" ht="13">
      <c r="A1041" s="61"/>
      <c r="B1041" s="61"/>
      <c r="C1041" s="61"/>
      <c r="D1041" s="61"/>
      <c r="E1041" s="61"/>
      <c r="F1041" s="61"/>
      <c r="G1041" s="179"/>
      <c r="H1041" s="61"/>
      <c r="I1041" s="61"/>
      <c r="J1041" s="61"/>
      <c r="K1041" s="61"/>
      <c r="L1041" s="61"/>
      <c r="M1041" s="61"/>
      <c r="N1041" s="61"/>
      <c r="O1041" s="61"/>
      <c r="P1041" s="61"/>
      <c r="Q1041" s="61"/>
      <c r="R1041" s="61"/>
      <c r="S1041" s="61"/>
      <c r="T1041" s="61"/>
      <c r="U1041" s="61"/>
      <c r="V1041" s="61"/>
      <c r="W1041" s="61"/>
      <c r="X1041" s="61"/>
      <c r="Y1041" s="61"/>
      <c r="Z1041" s="61"/>
    </row>
    <row r="1042" spans="1:26" ht="13">
      <c r="A1042" s="61"/>
      <c r="B1042" s="61"/>
      <c r="C1042" s="61"/>
      <c r="D1042" s="61"/>
      <c r="E1042" s="61"/>
      <c r="F1042" s="61"/>
      <c r="G1042" s="179"/>
      <c r="H1042" s="61"/>
      <c r="I1042" s="61"/>
      <c r="J1042" s="61"/>
      <c r="K1042" s="61"/>
      <c r="L1042" s="61"/>
      <c r="M1042" s="61"/>
      <c r="N1042" s="61"/>
      <c r="O1042" s="61"/>
      <c r="P1042" s="61"/>
      <c r="Q1042" s="61"/>
      <c r="R1042" s="61"/>
      <c r="S1042" s="61"/>
      <c r="T1042" s="61"/>
      <c r="U1042" s="61"/>
      <c r="V1042" s="61"/>
      <c r="W1042" s="61"/>
      <c r="X1042" s="61"/>
      <c r="Y1042" s="61"/>
      <c r="Z1042" s="61"/>
    </row>
    <row r="1043" spans="1:26" ht="13">
      <c r="A1043" s="61"/>
      <c r="B1043" s="61"/>
      <c r="C1043" s="61"/>
      <c r="D1043" s="61"/>
      <c r="E1043" s="61"/>
      <c r="F1043" s="61"/>
      <c r="G1043" s="179"/>
      <c r="H1043" s="61"/>
      <c r="I1043" s="61"/>
      <c r="J1043" s="61"/>
      <c r="K1043" s="61"/>
      <c r="L1043" s="61"/>
      <c r="M1043" s="61"/>
      <c r="N1043" s="61"/>
      <c r="O1043" s="61"/>
      <c r="P1043" s="61"/>
      <c r="Q1043" s="61"/>
      <c r="R1043" s="61"/>
      <c r="S1043" s="61"/>
      <c r="T1043" s="61"/>
      <c r="U1043" s="61"/>
      <c r="V1043" s="61"/>
      <c r="W1043" s="61"/>
      <c r="X1043" s="61"/>
      <c r="Y1043" s="61"/>
      <c r="Z1043" s="61"/>
    </row>
    <row r="1044" spans="1:26" ht="13">
      <c r="A1044" s="61"/>
      <c r="B1044" s="61"/>
      <c r="C1044" s="61"/>
      <c r="D1044" s="61"/>
      <c r="E1044" s="61"/>
      <c r="F1044" s="61"/>
      <c r="G1044" s="179"/>
      <c r="H1044" s="61"/>
      <c r="I1044" s="61"/>
      <c r="J1044" s="61"/>
      <c r="K1044" s="61"/>
      <c r="L1044" s="61"/>
      <c r="M1044" s="61"/>
      <c r="N1044" s="61"/>
      <c r="O1044" s="61"/>
      <c r="P1044" s="61"/>
      <c r="Q1044" s="61"/>
      <c r="R1044" s="61"/>
      <c r="S1044" s="61"/>
      <c r="T1044" s="61"/>
      <c r="U1044" s="61"/>
      <c r="V1044" s="61"/>
      <c r="W1044" s="61"/>
      <c r="X1044" s="61"/>
      <c r="Y1044" s="61"/>
      <c r="Z1044" s="61"/>
    </row>
    <row r="1045" spans="1:26" ht="13">
      <c r="A1045" s="61"/>
      <c r="B1045" s="61"/>
      <c r="C1045" s="61"/>
      <c r="D1045" s="61"/>
      <c r="E1045" s="61"/>
      <c r="F1045" s="61"/>
      <c r="G1045" s="179"/>
      <c r="H1045" s="61"/>
      <c r="I1045" s="61"/>
      <c r="J1045" s="61"/>
      <c r="K1045" s="61"/>
      <c r="L1045" s="61"/>
      <c r="M1045" s="61"/>
      <c r="N1045" s="61"/>
      <c r="O1045" s="61"/>
      <c r="P1045" s="61"/>
      <c r="Q1045" s="61"/>
      <c r="R1045" s="61"/>
      <c r="S1045" s="61"/>
      <c r="T1045" s="61"/>
      <c r="U1045" s="61"/>
      <c r="V1045" s="61"/>
      <c r="W1045" s="61"/>
      <c r="X1045" s="61"/>
      <c r="Y1045" s="61"/>
      <c r="Z1045" s="61"/>
    </row>
    <row r="1046" spans="1:26" ht="13">
      <c r="A1046" s="61"/>
      <c r="B1046" s="61"/>
      <c r="C1046" s="61"/>
      <c r="D1046" s="61"/>
      <c r="E1046" s="61"/>
      <c r="F1046" s="61"/>
      <c r="G1046" s="179"/>
      <c r="H1046" s="61"/>
      <c r="I1046" s="61"/>
      <c r="J1046" s="61"/>
      <c r="K1046" s="61"/>
      <c r="L1046" s="61"/>
      <c r="M1046" s="61"/>
      <c r="N1046" s="61"/>
      <c r="O1046" s="61"/>
      <c r="P1046" s="61"/>
      <c r="Q1046" s="61"/>
      <c r="R1046" s="61"/>
      <c r="S1046" s="61"/>
      <c r="T1046" s="61"/>
      <c r="U1046" s="61"/>
      <c r="V1046" s="61"/>
      <c r="W1046" s="61"/>
      <c r="X1046" s="61"/>
      <c r="Y1046" s="61"/>
      <c r="Z1046" s="61"/>
    </row>
    <row r="1047" spans="1:26" ht="13">
      <c r="A1047" s="61"/>
      <c r="B1047" s="61"/>
      <c r="C1047" s="61"/>
      <c r="D1047" s="61"/>
      <c r="E1047" s="61"/>
      <c r="F1047" s="61"/>
      <c r="G1047" s="179"/>
      <c r="H1047" s="61"/>
      <c r="I1047" s="61"/>
      <c r="J1047" s="61"/>
      <c r="K1047" s="61"/>
      <c r="L1047" s="61"/>
      <c r="M1047" s="61"/>
      <c r="N1047" s="61"/>
      <c r="O1047" s="61"/>
      <c r="P1047" s="61"/>
      <c r="Q1047" s="61"/>
      <c r="R1047" s="61"/>
      <c r="S1047" s="61"/>
      <c r="T1047" s="61"/>
      <c r="U1047" s="61"/>
      <c r="V1047" s="61"/>
      <c r="W1047" s="61"/>
      <c r="X1047" s="61"/>
      <c r="Y1047" s="61"/>
      <c r="Z1047" s="61"/>
    </row>
    <row r="1048" spans="1:26" ht="13">
      <c r="A1048" s="61"/>
      <c r="B1048" s="61"/>
      <c r="C1048" s="61"/>
      <c r="D1048" s="61"/>
      <c r="E1048" s="61"/>
      <c r="F1048" s="61"/>
      <c r="G1048" s="179"/>
      <c r="H1048" s="61"/>
      <c r="I1048" s="61"/>
      <c r="J1048" s="61"/>
      <c r="K1048" s="61"/>
      <c r="L1048" s="61"/>
      <c r="M1048" s="61"/>
      <c r="N1048" s="61"/>
      <c r="O1048" s="61"/>
      <c r="P1048" s="61"/>
      <c r="Q1048" s="61"/>
      <c r="R1048" s="61"/>
      <c r="S1048" s="61"/>
      <c r="T1048" s="61"/>
      <c r="U1048" s="61"/>
      <c r="V1048" s="61"/>
      <c r="W1048" s="61"/>
      <c r="X1048" s="61"/>
      <c r="Y1048" s="61"/>
      <c r="Z1048" s="61"/>
    </row>
    <row r="1049" spans="1:26" ht="13">
      <c r="A1049" s="61"/>
      <c r="B1049" s="61"/>
      <c r="C1049" s="61"/>
      <c r="D1049" s="61"/>
      <c r="E1049" s="61"/>
      <c r="F1049" s="61"/>
      <c r="G1049" s="179"/>
      <c r="H1049" s="61"/>
      <c r="I1049" s="61"/>
      <c r="J1049" s="61"/>
      <c r="K1049" s="61"/>
      <c r="L1049" s="61"/>
      <c r="M1049" s="61"/>
      <c r="N1049" s="61"/>
      <c r="O1049" s="61"/>
      <c r="P1049" s="61"/>
      <c r="Q1049" s="61"/>
      <c r="R1049" s="61"/>
      <c r="S1049" s="61"/>
      <c r="T1049" s="61"/>
      <c r="U1049" s="61"/>
      <c r="V1049" s="61"/>
      <c r="W1049" s="61"/>
      <c r="X1049" s="61"/>
      <c r="Y1049" s="61"/>
      <c r="Z1049" s="61"/>
    </row>
    <row r="1050" spans="1:26" ht="13">
      <c r="A1050" s="61"/>
      <c r="B1050" s="61"/>
      <c r="C1050" s="61"/>
      <c r="D1050" s="61"/>
      <c r="E1050" s="61"/>
      <c r="F1050" s="61"/>
      <c r="G1050" s="179"/>
      <c r="H1050" s="61"/>
      <c r="I1050" s="61"/>
      <c r="J1050" s="61"/>
      <c r="K1050" s="61"/>
      <c r="L1050" s="61"/>
      <c r="M1050" s="61"/>
      <c r="N1050" s="61"/>
      <c r="O1050" s="61"/>
      <c r="P1050" s="61"/>
      <c r="Q1050" s="61"/>
      <c r="R1050" s="61"/>
      <c r="S1050" s="61"/>
      <c r="T1050" s="61"/>
      <c r="U1050" s="61"/>
      <c r="V1050" s="61"/>
      <c r="W1050" s="61"/>
      <c r="X1050" s="61"/>
      <c r="Y1050" s="61"/>
      <c r="Z1050" s="61"/>
    </row>
    <row r="1051" spans="1:26" ht="13">
      <c r="A1051" s="61"/>
      <c r="B1051" s="61"/>
      <c r="C1051" s="61"/>
      <c r="D1051" s="61"/>
      <c r="E1051" s="61"/>
      <c r="F1051" s="61"/>
      <c r="G1051" s="179"/>
      <c r="H1051" s="61"/>
      <c r="I1051" s="61"/>
      <c r="J1051" s="61"/>
      <c r="K1051" s="61"/>
      <c r="L1051" s="61"/>
      <c r="M1051" s="61"/>
      <c r="N1051" s="61"/>
      <c r="O1051" s="61"/>
      <c r="P1051" s="61"/>
      <c r="Q1051" s="61"/>
      <c r="R1051" s="61"/>
      <c r="S1051" s="61"/>
      <c r="T1051" s="61"/>
      <c r="U1051" s="61"/>
      <c r="V1051" s="61"/>
      <c r="W1051" s="61"/>
      <c r="X1051" s="61"/>
      <c r="Y1051" s="61"/>
      <c r="Z1051" s="61"/>
    </row>
    <row r="1052" spans="1:26" ht="13">
      <c r="A1052" s="61"/>
      <c r="B1052" s="61"/>
      <c r="C1052" s="61"/>
      <c r="D1052" s="61"/>
      <c r="E1052" s="61"/>
      <c r="F1052" s="61"/>
      <c r="G1052" s="179"/>
      <c r="H1052" s="61"/>
      <c r="I1052" s="61"/>
      <c r="J1052" s="61"/>
      <c r="K1052" s="61"/>
      <c r="L1052" s="61"/>
      <c r="M1052" s="61"/>
      <c r="N1052" s="61"/>
      <c r="O1052" s="61"/>
      <c r="P1052" s="61"/>
      <c r="Q1052" s="61"/>
      <c r="R1052" s="61"/>
      <c r="S1052" s="61"/>
      <c r="T1052" s="61"/>
      <c r="U1052" s="61"/>
      <c r="V1052" s="61"/>
      <c r="W1052" s="61"/>
      <c r="X1052" s="61"/>
      <c r="Y1052" s="61"/>
      <c r="Z1052" s="61"/>
    </row>
    <row r="1053" spans="1:26" ht="13">
      <c r="A1053" s="61"/>
      <c r="B1053" s="61"/>
      <c r="C1053" s="61"/>
      <c r="D1053" s="61"/>
      <c r="E1053" s="61"/>
      <c r="F1053" s="61"/>
      <c r="G1053" s="179"/>
      <c r="H1053" s="61"/>
      <c r="I1053" s="61"/>
      <c r="J1053" s="61"/>
      <c r="K1053" s="61"/>
      <c r="L1053" s="61"/>
      <c r="M1053" s="61"/>
      <c r="N1053" s="61"/>
      <c r="O1053" s="61"/>
      <c r="P1053" s="61"/>
      <c r="Q1053" s="61"/>
      <c r="R1053" s="61"/>
      <c r="S1053" s="61"/>
      <c r="T1053" s="61"/>
      <c r="U1053" s="61"/>
      <c r="V1053" s="61"/>
      <c r="W1053" s="61"/>
      <c r="X1053" s="61"/>
      <c r="Y1053" s="61"/>
      <c r="Z1053" s="61"/>
    </row>
    <row r="1054" spans="1:26" ht="13">
      <c r="A1054" s="61"/>
      <c r="B1054" s="61"/>
      <c r="C1054" s="61"/>
      <c r="D1054" s="61"/>
      <c r="E1054" s="61"/>
      <c r="F1054" s="61"/>
      <c r="G1054" s="179"/>
      <c r="H1054" s="61"/>
      <c r="I1054" s="61"/>
      <c r="J1054" s="61"/>
      <c r="K1054" s="61"/>
      <c r="L1054" s="61"/>
      <c r="M1054" s="61"/>
      <c r="N1054" s="61"/>
      <c r="O1054" s="61"/>
      <c r="P1054" s="61"/>
      <c r="Q1054" s="61"/>
      <c r="R1054" s="61"/>
      <c r="S1054" s="61"/>
      <c r="T1054" s="61"/>
      <c r="U1054" s="61"/>
      <c r="V1054" s="61"/>
      <c r="W1054" s="61"/>
      <c r="X1054" s="61"/>
      <c r="Y1054" s="61"/>
      <c r="Z1054" s="61"/>
    </row>
    <row r="1055" spans="1:26" ht="13">
      <c r="A1055" s="61"/>
      <c r="B1055" s="61"/>
      <c r="C1055" s="61"/>
      <c r="D1055" s="61"/>
      <c r="E1055" s="61"/>
      <c r="F1055" s="61"/>
      <c r="G1055" s="179"/>
      <c r="H1055" s="61"/>
      <c r="I1055" s="61"/>
      <c r="J1055" s="61"/>
      <c r="K1055" s="61"/>
      <c r="L1055" s="61"/>
      <c r="M1055" s="61"/>
      <c r="N1055" s="61"/>
      <c r="O1055" s="61"/>
      <c r="P1055" s="61"/>
      <c r="Q1055" s="61"/>
      <c r="R1055" s="61"/>
      <c r="S1055" s="61"/>
      <c r="T1055" s="61"/>
      <c r="U1055" s="61"/>
      <c r="V1055" s="61"/>
      <c r="W1055" s="61"/>
      <c r="X1055" s="61"/>
      <c r="Y1055" s="61"/>
      <c r="Z1055" s="61"/>
    </row>
    <row r="1056" spans="1:26" ht="13">
      <c r="A1056" s="61"/>
      <c r="B1056" s="61"/>
      <c r="C1056" s="61"/>
      <c r="D1056" s="61"/>
      <c r="E1056" s="61"/>
      <c r="F1056" s="61"/>
      <c r="G1056" s="179"/>
      <c r="H1056" s="61"/>
      <c r="I1056" s="61"/>
      <c r="J1056" s="61"/>
      <c r="K1056" s="61"/>
      <c r="L1056" s="61"/>
      <c r="M1056" s="61"/>
      <c r="N1056" s="61"/>
      <c r="O1056" s="61"/>
      <c r="P1056" s="61"/>
      <c r="Q1056" s="61"/>
      <c r="R1056" s="61"/>
      <c r="S1056" s="61"/>
      <c r="T1056" s="61"/>
      <c r="U1056" s="61"/>
      <c r="V1056" s="61"/>
      <c r="W1056" s="61"/>
      <c r="X1056" s="61"/>
      <c r="Y1056" s="61"/>
      <c r="Z1056" s="61"/>
    </row>
    <row r="1057" spans="1:26" ht="13">
      <c r="A1057" s="61"/>
      <c r="B1057" s="61"/>
      <c r="C1057" s="61"/>
      <c r="D1057" s="61"/>
      <c r="E1057" s="61"/>
      <c r="F1057" s="61"/>
      <c r="G1057" s="179"/>
      <c r="H1057" s="61"/>
      <c r="I1057" s="61"/>
      <c r="J1057" s="61"/>
      <c r="K1057" s="61"/>
      <c r="L1057" s="61"/>
      <c r="M1057" s="61"/>
      <c r="N1057" s="61"/>
      <c r="O1057" s="61"/>
      <c r="P1057" s="61"/>
      <c r="Q1057" s="61"/>
      <c r="R1057" s="61"/>
      <c r="S1057" s="61"/>
      <c r="T1057" s="61"/>
      <c r="U1057" s="61"/>
      <c r="V1057" s="61"/>
      <c r="W1057" s="61"/>
      <c r="X1057" s="61"/>
      <c r="Y1057" s="61"/>
      <c r="Z1057" s="61"/>
    </row>
    <row r="1058" spans="1:26" ht="13">
      <c r="A1058" s="61"/>
      <c r="B1058" s="61"/>
      <c r="C1058" s="61"/>
      <c r="D1058" s="61"/>
      <c r="E1058" s="61"/>
      <c r="F1058" s="61"/>
      <c r="G1058" s="179"/>
      <c r="H1058" s="61"/>
      <c r="I1058" s="61"/>
      <c r="J1058" s="61"/>
      <c r="K1058" s="61"/>
      <c r="L1058" s="61"/>
      <c r="M1058" s="61"/>
      <c r="N1058" s="61"/>
      <c r="O1058" s="61"/>
      <c r="P1058" s="61"/>
      <c r="Q1058" s="61"/>
      <c r="R1058" s="61"/>
      <c r="S1058" s="61"/>
      <c r="T1058" s="61"/>
      <c r="U1058" s="61"/>
      <c r="V1058" s="61"/>
      <c r="W1058" s="61"/>
      <c r="X1058" s="61"/>
      <c r="Y1058" s="61"/>
      <c r="Z1058" s="61"/>
    </row>
    <row r="1059" spans="1:26" ht="13">
      <c r="A1059" s="61"/>
      <c r="B1059" s="61"/>
      <c r="C1059" s="61"/>
      <c r="D1059" s="61"/>
      <c r="E1059" s="61"/>
      <c r="F1059" s="61"/>
      <c r="G1059" s="179"/>
      <c r="H1059" s="61"/>
      <c r="I1059" s="61"/>
      <c r="J1059" s="61"/>
      <c r="K1059" s="61"/>
      <c r="L1059" s="61"/>
      <c r="M1059" s="61"/>
      <c r="N1059" s="61"/>
      <c r="O1059" s="61"/>
      <c r="P1059" s="61"/>
      <c r="Q1059" s="61"/>
      <c r="R1059" s="61"/>
      <c r="S1059" s="61"/>
      <c r="T1059" s="61"/>
      <c r="U1059" s="61"/>
      <c r="V1059" s="61"/>
      <c r="W1059" s="61"/>
      <c r="X1059" s="61"/>
      <c r="Y1059" s="61"/>
      <c r="Z1059" s="61"/>
    </row>
    <row r="1060" spans="1:26" ht="13">
      <c r="A1060" s="61"/>
      <c r="B1060" s="61"/>
      <c r="C1060" s="61"/>
      <c r="D1060" s="61"/>
      <c r="E1060" s="61"/>
      <c r="F1060" s="61"/>
      <c r="G1060" s="179"/>
      <c r="H1060" s="61"/>
      <c r="I1060" s="61"/>
      <c r="J1060" s="61"/>
      <c r="K1060" s="61"/>
      <c r="L1060" s="61"/>
      <c r="M1060" s="61"/>
      <c r="N1060" s="61"/>
      <c r="O1060" s="61"/>
      <c r="P1060" s="61"/>
      <c r="Q1060" s="61"/>
      <c r="R1060" s="61"/>
      <c r="S1060" s="61"/>
      <c r="T1060" s="61"/>
      <c r="U1060" s="61"/>
      <c r="V1060" s="61"/>
      <c r="W1060" s="61"/>
      <c r="X1060" s="61"/>
      <c r="Y1060" s="61"/>
      <c r="Z1060" s="61"/>
    </row>
    <row r="1061" spans="1:26" ht="13">
      <c r="A1061" s="61"/>
      <c r="B1061" s="61"/>
      <c r="C1061" s="61"/>
      <c r="D1061" s="61"/>
      <c r="E1061" s="61"/>
      <c r="F1061" s="61"/>
      <c r="G1061" s="179"/>
      <c r="H1061" s="61"/>
      <c r="I1061" s="61"/>
      <c r="J1061" s="61"/>
      <c r="K1061" s="61"/>
      <c r="L1061" s="61"/>
      <c r="M1061" s="61"/>
      <c r="N1061" s="61"/>
      <c r="O1061" s="61"/>
      <c r="P1061" s="61"/>
      <c r="Q1061" s="61"/>
      <c r="R1061" s="61"/>
      <c r="S1061" s="61"/>
      <c r="T1061" s="61"/>
      <c r="U1061" s="61"/>
      <c r="V1061" s="61"/>
      <c r="W1061" s="61"/>
      <c r="X1061" s="61"/>
      <c r="Y1061" s="61"/>
      <c r="Z1061" s="61"/>
    </row>
    <row r="1062" spans="1:26" ht="13">
      <c r="A1062" s="61"/>
      <c r="B1062" s="61"/>
      <c r="C1062" s="61"/>
      <c r="D1062" s="61"/>
      <c r="E1062" s="61"/>
      <c r="F1062" s="61"/>
      <c r="G1062" s="179"/>
      <c r="H1062" s="61"/>
      <c r="I1062" s="61"/>
      <c r="J1062" s="61"/>
      <c r="K1062" s="61"/>
      <c r="L1062" s="61"/>
      <c r="M1062" s="61"/>
      <c r="N1062" s="61"/>
      <c r="O1062" s="61"/>
      <c r="P1062" s="61"/>
      <c r="Q1062" s="61"/>
      <c r="R1062" s="61"/>
      <c r="S1062" s="61"/>
      <c r="T1062" s="61"/>
      <c r="U1062" s="61"/>
      <c r="V1062" s="61"/>
      <c r="W1062" s="61"/>
      <c r="X1062" s="61"/>
      <c r="Y1062" s="61"/>
      <c r="Z1062" s="61"/>
    </row>
    <row r="1063" spans="1:26" ht="13">
      <c r="A1063" s="61"/>
      <c r="B1063" s="61"/>
      <c r="C1063" s="61"/>
      <c r="D1063" s="61"/>
      <c r="E1063" s="61"/>
      <c r="F1063" s="61"/>
      <c r="G1063" s="179"/>
      <c r="H1063" s="61"/>
      <c r="I1063" s="61"/>
      <c r="J1063" s="61"/>
      <c r="K1063" s="61"/>
      <c r="L1063" s="61"/>
      <c r="M1063" s="61"/>
      <c r="N1063" s="61"/>
      <c r="O1063" s="61"/>
      <c r="P1063" s="61"/>
      <c r="Q1063" s="61"/>
      <c r="R1063" s="61"/>
      <c r="S1063" s="61"/>
      <c r="T1063" s="61"/>
      <c r="U1063" s="61"/>
      <c r="V1063" s="61"/>
      <c r="W1063" s="61"/>
      <c r="X1063" s="61"/>
      <c r="Y1063" s="61"/>
      <c r="Z1063" s="61"/>
    </row>
    <row r="1064" spans="1:26" ht="13">
      <c r="A1064" s="61"/>
      <c r="B1064" s="61"/>
      <c r="C1064" s="61"/>
      <c r="D1064" s="61"/>
      <c r="E1064" s="61"/>
      <c r="F1064" s="61"/>
      <c r="G1064" s="179"/>
      <c r="H1064" s="61"/>
      <c r="I1064" s="61"/>
      <c r="J1064" s="61"/>
      <c r="K1064" s="61"/>
      <c r="L1064" s="61"/>
      <c r="M1064" s="61"/>
      <c r="N1064" s="61"/>
      <c r="O1064" s="61"/>
      <c r="P1064" s="61"/>
      <c r="Q1064" s="61"/>
      <c r="R1064" s="61"/>
      <c r="S1064" s="61"/>
      <c r="T1064" s="61"/>
      <c r="U1064" s="61"/>
      <c r="V1064" s="61"/>
      <c r="W1064" s="61"/>
      <c r="X1064" s="61"/>
      <c r="Y1064" s="61"/>
      <c r="Z1064" s="61"/>
    </row>
    <row r="1065" spans="1:26" ht="13">
      <c r="A1065" s="61"/>
      <c r="B1065" s="61"/>
      <c r="C1065" s="61"/>
      <c r="D1065" s="61"/>
      <c r="E1065" s="61"/>
      <c r="F1065" s="61"/>
      <c r="G1065" s="179"/>
      <c r="H1065" s="61"/>
      <c r="I1065" s="61"/>
      <c r="J1065" s="61"/>
      <c r="K1065" s="61"/>
      <c r="L1065" s="61"/>
      <c r="M1065" s="61"/>
      <c r="N1065" s="61"/>
      <c r="O1065" s="61"/>
      <c r="P1065" s="61"/>
      <c r="Q1065" s="61"/>
      <c r="R1065" s="61"/>
      <c r="S1065" s="61"/>
      <c r="T1065" s="61"/>
      <c r="U1065" s="61"/>
      <c r="V1065" s="61"/>
      <c r="W1065" s="61"/>
      <c r="X1065" s="61"/>
      <c r="Y1065" s="61"/>
      <c r="Z1065" s="61"/>
    </row>
    <row r="1066" spans="1:26" ht="13">
      <c r="A1066" s="61"/>
      <c r="B1066" s="61"/>
      <c r="C1066" s="61"/>
      <c r="D1066" s="61"/>
      <c r="E1066" s="61"/>
      <c r="F1066" s="61"/>
      <c r="G1066" s="179"/>
      <c r="H1066" s="61"/>
      <c r="I1066" s="61"/>
      <c r="J1066" s="61"/>
      <c r="K1066" s="61"/>
      <c r="L1066" s="61"/>
      <c r="M1066" s="61"/>
      <c r="N1066" s="61"/>
      <c r="O1066" s="61"/>
      <c r="P1066" s="61"/>
      <c r="Q1066" s="61"/>
      <c r="R1066" s="61"/>
      <c r="S1066" s="61"/>
      <c r="T1066" s="61"/>
      <c r="U1066" s="61"/>
      <c r="V1066" s="61"/>
      <c r="W1066" s="61"/>
      <c r="X1066" s="61"/>
      <c r="Y1066" s="61"/>
      <c r="Z1066" s="61"/>
    </row>
    <row r="1067" spans="1:26" ht="13">
      <c r="A1067" s="61"/>
      <c r="B1067" s="61"/>
      <c r="C1067" s="61"/>
      <c r="D1067" s="61"/>
      <c r="E1067" s="61"/>
      <c r="F1067" s="61"/>
      <c r="G1067" s="179"/>
      <c r="H1067" s="61"/>
      <c r="I1067" s="61"/>
      <c r="J1067" s="61"/>
      <c r="K1067" s="61"/>
      <c r="L1067" s="61"/>
      <c r="M1067" s="61"/>
      <c r="N1067" s="61"/>
      <c r="O1067" s="61"/>
      <c r="P1067" s="61"/>
      <c r="Q1067" s="61"/>
      <c r="R1067" s="61"/>
      <c r="S1067" s="61"/>
      <c r="T1067" s="61"/>
      <c r="U1067" s="61"/>
      <c r="V1067" s="61"/>
      <c r="W1067" s="61"/>
      <c r="X1067" s="61"/>
      <c r="Y1067" s="61"/>
      <c r="Z1067" s="61"/>
    </row>
    <row r="1068" spans="1:26" ht="13">
      <c r="A1068" s="61"/>
      <c r="B1068" s="61"/>
      <c r="C1068" s="61"/>
      <c r="D1068" s="61"/>
      <c r="E1068" s="61"/>
      <c r="F1068" s="61"/>
      <c r="G1068" s="179"/>
      <c r="H1068" s="61"/>
      <c r="I1068" s="61"/>
      <c r="J1068" s="61"/>
      <c r="K1068" s="61"/>
      <c r="L1068" s="61"/>
      <c r="M1068" s="61"/>
      <c r="N1068" s="61"/>
      <c r="O1068" s="61"/>
      <c r="P1068" s="61"/>
      <c r="Q1068" s="61"/>
      <c r="R1068" s="61"/>
      <c r="S1068" s="61"/>
      <c r="T1068" s="61"/>
      <c r="U1068" s="61"/>
      <c r="V1068" s="61"/>
      <c r="W1068" s="61"/>
      <c r="X1068" s="61"/>
      <c r="Y1068" s="61"/>
      <c r="Z1068" s="61"/>
    </row>
    <row r="1069" spans="1:26" ht="13">
      <c r="A1069" s="61"/>
      <c r="B1069" s="61"/>
      <c r="C1069" s="61"/>
      <c r="D1069" s="61"/>
      <c r="E1069" s="61"/>
      <c r="F1069" s="61"/>
      <c r="G1069" s="179"/>
      <c r="H1069" s="61"/>
      <c r="I1069" s="61"/>
      <c r="J1069" s="61"/>
      <c r="K1069" s="61"/>
      <c r="L1069" s="61"/>
      <c r="M1069" s="61"/>
      <c r="N1069" s="61"/>
      <c r="O1069" s="61"/>
      <c r="P1069" s="61"/>
      <c r="Q1069" s="61"/>
      <c r="R1069" s="61"/>
      <c r="S1069" s="61"/>
      <c r="T1069" s="61"/>
      <c r="U1069" s="61"/>
      <c r="V1069" s="61"/>
      <c r="W1069" s="61"/>
      <c r="X1069" s="61"/>
      <c r="Y1069" s="61"/>
      <c r="Z1069" s="61"/>
    </row>
    <row r="1070" spans="1:26" ht="13">
      <c r="A1070" s="61"/>
      <c r="B1070" s="61"/>
      <c r="C1070" s="61"/>
      <c r="D1070" s="61"/>
      <c r="E1070" s="61"/>
      <c r="F1070" s="61"/>
      <c r="G1070" s="179"/>
      <c r="H1070" s="61"/>
      <c r="I1070" s="61"/>
      <c r="J1070" s="61"/>
      <c r="K1070" s="61"/>
      <c r="L1070" s="61"/>
      <c r="M1070" s="61"/>
      <c r="N1070" s="61"/>
      <c r="O1070" s="61"/>
      <c r="P1070" s="61"/>
      <c r="Q1070" s="61"/>
      <c r="R1070" s="61"/>
      <c r="S1070" s="61"/>
      <c r="T1070" s="61"/>
      <c r="U1070" s="61"/>
      <c r="V1070" s="61"/>
      <c r="W1070" s="61"/>
      <c r="X1070" s="61"/>
      <c r="Y1070" s="61"/>
      <c r="Z1070" s="61"/>
    </row>
    <row r="1071" spans="1:26" ht="13">
      <c r="A1071" s="61"/>
      <c r="B1071" s="61"/>
      <c r="C1071" s="61"/>
      <c r="D1071" s="61"/>
      <c r="E1071" s="61"/>
      <c r="F1071" s="61"/>
      <c r="G1071" s="179"/>
      <c r="H1071" s="61"/>
      <c r="I1071" s="61"/>
      <c r="J1071" s="61"/>
      <c r="K1071" s="61"/>
      <c r="L1071" s="61"/>
      <c r="M1071" s="61"/>
      <c r="N1071" s="61"/>
      <c r="O1071" s="61"/>
      <c r="P1071" s="61"/>
      <c r="Q1071" s="61"/>
      <c r="R1071" s="61"/>
      <c r="S1071" s="61"/>
      <c r="T1071" s="61"/>
      <c r="U1071" s="61"/>
      <c r="V1071" s="61"/>
      <c r="W1071" s="61"/>
      <c r="X1071" s="61"/>
      <c r="Y1071" s="61"/>
      <c r="Z1071" s="61"/>
    </row>
    <row r="1072" spans="1:26" ht="13">
      <c r="A1072" s="61"/>
      <c r="B1072" s="61"/>
      <c r="C1072" s="61"/>
      <c r="D1072" s="61"/>
      <c r="E1072" s="61"/>
      <c r="F1072" s="61"/>
      <c r="G1072" s="179"/>
      <c r="H1072" s="61"/>
      <c r="I1072" s="61"/>
      <c r="J1072" s="61"/>
      <c r="K1072" s="61"/>
      <c r="L1072" s="61"/>
      <c r="M1072" s="61"/>
      <c r="N1072" s="61"/>
      <c r="O1072" s="61"/>
      <c r="P1072" s="61"/>
      <c r="Q1072" s="61"/>
      <c r="R1072" s="61"/>
      <c r="S1072" s="61"/>
      <c r="T1072" s="61"/>
      <c r="U1072" s="61"/>
      <c r="V1072" s="61"/>
      <c r="W1072" s="61"/>
      <c r="X1072" s="61"/>
      <c r="Y1072" s="61"/>
      <c r="Z1072" s="61"/>
    </row>
    <row r="1073" spans="1:26" ht="13">
      <c r="A1073" s="61"/>
      <c r="B1073" s="61"/>
      <c r="C1073" s="61"/>
      <c r="D1073" s="61"/>
      <c r="E1073" s="61"/>
      <c r="F1073" s="61"/>
      <c r="G1073" s="179"/>
      <c r="H1073" s="61"/>
      <c r="I1073" s="61"/>
      <c r="J1073" s="61"/>
      <c r="K1073" s="61"/>
      <c r="L1073" s="61"/>
      <c r="M1073" s="61"/>
      <c r="N1073" s="61"/>
      <c r="O1073" s="61"/>
      <c r="P1073" s="61"/>
      <c r="Q1073" s="61"/>
      <c r="R1073" s="61"/>
      <c r="S1073" s="61"/>
      <c r="T1073" s="61"/>
      <c r="U1073" s="61"/>
      <c r="V1073" s="61"/>
      <c r="W1073" s="61"/>
      <c r="X1073" s="61"/>
      <c r="Y1073" s="61"/>
      <c r="Z1073" s="61"/>
    </row>
    <row r="1074" spans="1:26" ht="13">
      <c r="A1074" s="61"/>
      <c r="B1074" s="61"/>
      <c r="C1074" s="61"/>
      <c r="D1074" s="61"/>
      <c r="E1074" s="61"/>
      <c r="F1074" s="61"/>
      <c r="G1074" s="179"/>
      <c r="H1074" s="61"/>
      <c r="I1074" s="61"/>
      <c r="J1074" s="61"/>
      <c r="K1074" s="61"/>
      <c r="L1074" s="61"/>
      <c r="M1074" s="61"/>
      <c r="N1074" s="61"/>
      <c r="O1074" s="61"/>
      <c r="P1074" s="61"/>
      <c r="Q1074" s="61"/>
      <c r="R1074" s="61"/>
      <c r="S1074" s="61"/>
      <c r="T1074" s="61"/>
      <c r="U1074" s="61"/>
      <c r="V1074" s="61"/>
      <c r="W1074" s="61"/>
      <c r="X1074" s="61"/>
      <c r="Y1074" s="61"/>
      <c r="Z1074" s="61"/>
    </row>
    <row r="1075" spans="1:26" ht="13">
      <c r="A1075" s="61"/>
      <c r="B1075" s="61"/>
      <c r="C1075" s="61"/>
      <c r="D1075" s="61"/>
      <c r="E1075" s="61"/>
      <c r="F1075" s="61"/>
      <c r="G1075" s="179"/>
      <c r="H1075" s="61"/>
      <c r="I1075" s="61"/>
      <c r="J1075" s="61"/>
      <c r="K1075" s="61"/>
      <c r="L1075" s="61"/>
      <c r="M1075" s="61"/>
      <c r="N1075" s="61"/>
      <c r="O1075" s="61"/>
      <c r="P1075" s="61"/>
      <c r="Q1075" s="61"/>
      <c r="R1075" s="61"/>
      <c r="S1075" s="61"/>
      <c r="T1075" s="61"/>
      <c r="U1075" s="61"/>
      <c r="V1075" s="61"/>
      <c r="W1075" s="61"/>
      <c r="X1075" s="61"/>
      <c r="Y1075" s="61"/>
      <c r="Z1075" s="61"/>
    </row>
    <row r="1076" spans="1:26" ht="13">
      <c r="A1076" s="61"/>
      <c r="B1076" s="61"/>
      <c r="C1076" s="61"/>
      <c r="D1076" s="61"/>
      <c r="E1076" s="61"/>
      <c r="F1076" s="61"/>
      <c r="G1076" s="179"/>
      <c r="H1076" s="61"/>
      <c r="I1076" s="61"/>
      <c r="J1076" s="61"/>
      <c r="K1076" s="61"/>
      <c r="L1076" s="61"/>
      <c r="M1076" s="61"/>
      <c r="N1076" s="61"/>
      <c r="O1076" s="61"/>
      <c r="P1076" s="61"/>
      <c r="Q1076" s="61"/>
      <c r="R1076" s="61"/>
      <c r="S1076" s="61"/>
      <c r="T1076" s="61"/>
      <c r="U1076" s="61"/>
      <c r="V1076" s="61"/>
      <c r="W1076" s="61"/>
      <c r="X1076" s="61"/>
      <c r="Y1076" s="61"/>
      <c r="Z1076" s="61"/>
    </row>
    <row r="1077" spans="1:26" ht="13">
      <c r="A1077" s="61"/>
      <c r="B1077" s="61"/>
      <c r="C1077" s="61"/>
      <c r="D1077" s="61"/>
      <c r="E1077" s="61"/>
      <c r="F1077" s="61"/>
      <c r="G1077" s="179"/>
      <c r="H1077" s="61"/>
      <c r="I1077" s="61"/>
      <c r="J1077" s="61"/>
      <c r="K1077" s="61"/>
      <c r="L1077" s="61"/>
      <c r="M1077" s="61"/>
      <c r="N1077" s="61"/>
      <c r="O1077" s="61"/>
      <c r="P1077" s="61"/>
      <c r="Q1077" s="61"/>
      <c r="R1077" s="61"/>
      <c r="S1077" s="61"/>
      <c r="T1077" s="61"/>
      <c r="U1077" s="61"/>
      <c r="V1077" s="61"/>
      <c r="W1077" s="61"/>
      <c r="X1077" s="61"/>
      <c r="Y1077" s="61"/>
      <c r="Z1077" s="61"/>
    </row>
    <row r="1078" spans="1:26" ht="13">
      <c r="A1078" s="61"/>
      <c r="B1078" s="61"/>
      <c r="C1078" s="61"/>
      <c r="D1078" s="61"/>
      <c r="E1078" s="61"/>
      <c r="F1078" s="61"/>
      <c r="G1078" s="179"/>
      <c r="H1078" s="61"/>
      <c r="I1078" s="61"/>
      <c r="J1078" s="61"/>
      <c r="K1078" s="61"/>
      <c r="L1078" s="61"/>
      <c r="M1078" s="61"/>
      <c r="N1078" s="61"/>
      <c r="O1078" s="61"/>
      <c r="P1078" s="61"/>
      <c r="Q1078" s="61"/>
      <c r="R1078" s="61"/>
      <c r="S1078" s="61"/>
      <c r="T1078" s="61"/>
      <c r="U1078" s="61"/>
      <c r="V1078" s="61"/>
      <c r="W1078" s="61"/>
      <c r="X1078" s="61"/>
      <c r="Y1078" s="61"/>
      <c r="Z1078" s="61"/>
    </row>
    <row r="1079" spans="1:26" ht="13">
      <c r="A1079" s="61"/>
      <c r="B1079" s="61"/>
      <c r="C1079" s="61"/>
      <c r="D1079" s="61"/>
      <c r="E1079" s="61"/>
      <c r="F1079" s="61"/>
      <c r="G1079" s="179"/>
      <c r="H1079" s="61"/>
      <c r="I1079" s="61"/>
      <c r="J1079" s="61"/>
      <c r="K1079" s="61"/>
      <c r="L1079" s="61"/>
      <c r="M1079" s="61"/>
      <c r="N1079" s="61"/>
      <c r="O1079" s="61"/>
      <c r="P1079" s="61"/>
      <c r="Q1079" s="61"/>
      <c r="R1079" s="61"/>
      <c r="S1079" s="61"/>
      <c r="T1079" s="61"/>
      <c r="U1079" s="61"/>
      <c r="V1079" s="61"/>
      <c r="W1079" s="61"/>
      <c r="X1079" s="61"/>
      <c r="Y1079" s="61"/>
      <c r="Z1079" s="61"/>
    </row>
    <row r="1080" spans="1:26" ht="13">
      <c r="A1080" s="61"/>
      <c r="B1080" s="61"/>
      <c r="C1080" s="61"/>
      <c r="D1080" s="61"/>
      <c r="E1080" s="61"/>
      <c r="F1080" s="61"/>
      <c r="G1080" s="179"/>
      <c r="H1080" s="61"/>
      <c r="I1080" s="61"/>
      <c r="J1080" s="61"/>
      <c r="K1080" s="61"/>
      <c r="L1080" s="61"/>
      <c r="M1080" s="61"/>
      <c r="N1080" s="61"/>
      <c r="O1080" s="61"/>
      <c r="P1080" s="61"/>
      <c r="Q1080" s="61"/>
      <c r="R1080" s="61"/>
      <c r="S1080" s="61"/>
      <c r="T1080" s="61"/>
      <c r="U1080" s="61"/>
      <c r="V1080" s="61"/>
      <c r="W1080" s="61"/>
      <c r="X1080" s="61"/>
      <c r="Y1080" s="61"/>
      <c r="Z1080" s="61"/>
    </row>
    <row r="1081" spans="1:26" ht="13">
      <c r="A1081" s="61"/>
      <c r="B1081" s="61"/>
      <c r="C1081" s="61"/>
      <c r="D1081" s="61"/>
      <c r="E1081" s="61"/>
      <c r="F1081" s="61"/>
      <c r="G1081" s="179"/>
      <c r="H1081" s="61"/>
      <c r="I1081" s="61"/>
      <c r="J1081" s="61"/>
      <c r="K1081" s="61"/>
      <c r="L1081" s="61"/>
      <c r="M1081" s="61"/>
      <c r="N1081" s="61"/>
      <c r="O1081" s="61"/>
      <c r="P1081" s="61"/>
      <c r="Q1081" s="61"/>
      <c r="R1081" s="61"/>
      <c r="S1081" s="61"/>
      <c r="T1081" s="61"/>
      <c r="U1081" s="61"/>
      <c r="V1081" s="61"/>
      <c r="W1081" s="61"/>
      <c r="X1081" s="61"/>
      <c r="Y1081" s="61"/>
      <c r="Z1081" s="61"/>
    </row>
    <row r="1082" spans="1:26" ht="13">
      <c r="A1082" s="61"/>
      <c r="B1082" s="61"/>
      <c r="C1082" s="61"/>
      <c r="D1082" s="61"/>
      <c r="E1082" s="61"/>
      <c r="F1082" s="61"/>
      <c r="G1082" s="179"/>
      <c r="H1082" s="61"/>
      <c r="I1082" s="61"/>
      <c r="J1082" s="61"/>
      <c r="K1082" s="61"/>
      <c r="L1082" s="61"/>
      <c r="M1082" s="61"/>
      <c r="N1082" s="61"/>
      <c r="O1082" s="61"/>
      <c r="P1082" s="61"/>
      <c r="Q1082" s="61"/>
      <c r="R1082" s="61"/>
      <c r="S1082" s="61"/>
      <c r="T1082" s="61"/>
      <c r="U1082" s="61"/>
      <c r="V1082" s="61"/>
      <c r="W1082" s="61"/>
      <c r="X1082" s="61"/>
      <c r="Y1082" s="61"/>
      <c r="Z1082" s="61"/>
    </row>
    <row r="1083" spans="1:26" ht="13">
      <c r="A1083" s="61"/>
      <c r="B1083" s="61"/>
      <c r="C1083" s="61"/>
      <c r="D1083" s="61"/>
      <c r="E1083" s="61"/>
      <c r="F1083" s="61"/>
      <c r="G1083" s="179"/>
      <c r="H1083" s="61"/>
      <c r="I1083" s="61"/>
      <c r="J1083" s="61"/>
      <c r="K1083" s="61"/>
      <c r="L1083" s="61"/>
      <c r="M1083" s="61"/>
      <c r="N1083" s="61"/>
      <c r="O1083" s="61"/>
      <c r="P1083" s="61"/>
      <c r="Q1083" s="61"/>
      <c r="R1083" s="61"/>
      <c r="S1083" s="61"/>
      <c r="T1083" s="61"/>
      <c r="U1083" s="61"/>
      <c r="V1083" s="61"/>
      <c r="W1083" s="61"/>
      <c r="X1083" s="61"/>
      <c r="Y1083" s="61"/>
      <c r="Z1083" s="61"/>
    </row>
    <row r="1084" spans="1:26" ht="13">
      <c r="A1084" s="61"/>
      <c r="B1084" s="61"/>
      <c r="C1084" s="61"/>
      <c r="D1084" s="61"/>
      <c r="E1084" s="61"/>
      <c r="F1084" s="61"/>
      <c r="G1084" s="179"/>
      <c r="H1084" s="61"/>
      <c r="I1084" s="61"/>
      <c r="J1084" s="61"/>
      <c r="K1084" s="61"/>
      <c r="L1084" s="61"/>
      <c r="M1084" s="61"/>
      <c r="N1084" s="61"/>
      <c r="O1084" s="61"/>
      <c r="P1084" s="61"/>
      <c r="Q1084" s="61"/>
      <c r="R1084" s="61"/>
      <c r="S1084" s="61"/>
      <c r="T1084" s="61"/>
      <c r="U1084" s="61"/>
      <c r="V1084" s="61"/>
      <c r="W1084" s="61"/>
      <c r="X1084" s="61"/>
      <c r="Y1084" s="61"/>
      <c r="Z1084" s="61"/>
    </row>
    <row r="1085" spans="1:26" ht="13">
      <c r="A1085" s="61"/>
      <c r="B1085" s="61"/>
      <c r="C1085" s="61"/>
      <c r="D1085" s="61"/>
      <c r="E1085" s="61"/>
      <c r="F1085" s="61"/>
      <c r="G1085" s="179"/>
      <c r="H1085" s="61"/>
      <c r="I1085" s="61"/>
      <c r="J1085" s="61"/>
      <c r="K1085" s="61"/>
      <c r="L1085" s="61"/>
      <c r="M1085" s="61"/>
      <c r="N1085" s="61"/>
      <c r="O1085" s="61"/>
      <c r="P1085" s="61"/>
      <c r="Q1085" s="61"/>
      <c r="R1085" s="61"/>
      <c r="S1085" s="61"/>
      <c r="T1085" s="61"/>
      <c r="U1085" s="61"/>
      <c r="V1085" s="61"/>
      <c r="W1085" s="61"/>
      <c r="X1085" s="61"/>
      <c r="Y1085" s="61"/>
      <c r="Z1085" s="61"/>
    </row>
    <row r="1086" spans="1:26" ht="13">
      <c r="A1086" s="61"/>
      <c r="B1086" s="61"/>
      <c r="C1086" s="61"/>
      <c r="D1086" s="61"/>
      <c r="E1086" s="61"/>
      <c r="F1086" s="61"/>
      <c r="G1086" s="179"/>
      <c r="H1086" s="61"/>
      <c r="I1086" s="61"/>
      <c r="J1086" s="61"/>
      <c r="K1086" s="61"/>
      <c r="L1086" s="61"/>
      <c r="M1086" s="61"/>
      <c r="N1086" s="61"/>
      <c r="O1086" s="61"/>
      <c r="P1086" s="61"/>
      <c r="Q1086" s="61"/>
      <c r="R1086" s="61"/>
      <c r="S1086" s="61"/>
      <c r="T1086" s="61"/>
      <c r="U1086" s="61"/>
      <c r="V1086" s="61"/>
      <c r="W1086" s="61"/>
      <c r="X1086" s="61"/>
      <c r="Y1086" s="61"/>
      <c r="Z1086" s="61"/>
    </row>
    <row r="1087" spans="1:26" ht="13">
      <c r="A1087" s="61"/>
      <c r="B1087" s="61"/>
      <c r="C1087" s="61"/>
      <c r="D1087" s="61"/>
      <c r="E1087" s="61"/>
      <c r="F1087" s="61"/>
      <c r="G1087" s="179"/>
      <c r="H1087" s="61"/>
      <c r="I1087" s="61"/>
      <c r="J1087" s="61"/>
      <c r="K1087" s="61"/>
      <c r="L1087" s="61"/>
      <c r="M1087" s="61"/>
      <c r="N1087" s="61"/>
      <c r="O1087" s="61"/>
      <c r="P1087" s="61"/>
      <c r="Q1087" s="61"/>
      <c r="R1087" s="61"/>
      <c r="S1087" s="61"/>
      <c r="T1087" s="61"/>
      <c r="U1087" s="61"/>
      <c r="V1087" s="61"/>
      <c r="W1087" s="61"/>
      <c r="X1087" s="61"/>
      <c r="Y1087" s="61"/>
      <c r="Z1087" s="61"/>
    </row>
    <row r="1088" spans="1:26" ht="13">
      <c r="A1088" s="61"/>
      <c r="B1088" s="61"/>
      <c r="C1088" s="61"/>
      <c r="D1088" s="61"/>
      <c r="E1088" s="61"/>
      <c r="F1088" s="61"/>
      <c r="G1088" s="179"/>
      <c r="H1088" s="61"/>
      <c r="I1088" s="61"/>
      <c r="J1088" s="61"/>
      <c r="K1088" s="61"/>
      <c r="L1088" s="61"/>
      <c r="M1088" s="61"/>
      <c r="N1088" s="61"/>
      <c r="O1088" s="61"/>
      <c r="P1088" s="61"/>
      <c r="Q1088" s="61"/>
      <c r="R1088" s="61"/>
      <c r="S1088" s="61"/>
      <c r="T1088" s="61"/>
      <c r="U1088" s="61"/>
      <c r="V1088" s="61"/>
      <c r="W1088" s="61"/>
      <c r="X1088" s="61"/>
      <c r="Y1088" s="61"/>
      <c r="Z1088" s="61"/>
    </row>
    <row r="1089" spans="1:26" ht="13">
      <c r="A1089" s="61"/>
      <c r="B1089" s="61"/>
      <c r="C1089" s="61"/>
      <c r="D1089" s="61"/>
      <c r="E1089" s="61"/>
      <c r="F1089" s="61"/>
      <c r="G1089" s="179"/>
      <c r="H1089" s="61"/>
      <c r="I1089" s="61"/>
      <c r="J1089" s="61"/>
      <c r="K1089" s="61"/>
      <c r="L1089" s="61"/>
      <c r="M1089" s="61"/>
      <c r="N1089" s="61"/>
      <c r="O1089" s="61"/>
      <c r="P1089" s="61"/>
      <c r="Q1089" s="61"/>
      <c r="R1089" s="61"/>
      <c r="S1089" s="61"/>
      <c r="T1089" s="61"/>
      <c r="U1089" s="61"/>
      <c r="V1089" s="61"/>
      <c r="W1089" s="61"/>
      <c r="X1089" s="61"/>
      <c r="Y1089" s="61"/>
      <c r="Z1089" s="61"/>
    </row>
    <row r="1090" spans="1:26" ht="13">
      <c r="A1090" s="61"/>
      <c r="B1090" s="61"/>
      <c r="C1090" s="61"/>
      <c r="D1090" s="61"/>
      <c r="E1090" s="61"/>
      <c r="F1090" s="61"/>
      <c r="G1090" s="179"/>
      <c r="H1090" s="61"/>
      <c r="I1090" s="61"/>
      <c r="J1090" s="61"/>
      <c r="K1090" s="61"/>
      <c r="L1090" s="61"/>
      <c r="M1090" s="61"/>
      <c r="N1090" s="61"/>
      <c r="O1090" s="61"/>
      <c r="P1090" s="61"/>
      <c r="Q1090" s="61"/>
      <c r="R1090" s="61"/>
      <c r="S1090" s="61"/>
      <c r="T1090" s="61"/>
      <c r="U1090" s="61"/>
      <c r="V1090" s="61"/>
      <c r="W1090" s="61"/>
      <c r="X1090" s="61"/>
      <c r="Y1090" s="61"/>
      <c r="Z1090" s="61"/>
    </row>
    <row r="1091" spans="1:26" ht="13">
      <c r="A1091" s="61"/>
      <c r="B1091" s="61"/>
      <c r="C1091" s="61"/>
      <c r="D1091" s="61"/>
      <c r="E1091" s="61"/>
      <c r="F1091" s="61"/>
      <c r="G1091" s="179"/>
      <c r="H1091" s="61"/>
      <c r="I1091" s="61"/>
      <c r="J1091" s="61"/>
      <c r="K1091" s="61"/>
      <c r="L1091" s="61"/>
      <c r="M1091" s="61"/>
      <c r="N1091" s="61"/>
      <c r="O1091" s="61"/>
      <c r="P1091" s="61"/>
      <c r="Q1091" s="61"/>
      <c r="R1091" s="61"/>
      <c r="S1091" s="61"/>
      <c r="T1091" s="61"/>
      <c r="U1091" s="61"/>
      <c r="V1091" s="61"/>
      <c r="W1091" s="61"/>
      <c r="X1091" s="61"/>
      <c r="Y1091" s="61"/>
      <c r="Z1091" s="61"/>
    </row>
    <row r="1092" spans="1:26" ht="13">
      <c r="A1092" s="61"/>
      <c r="B1092" s="61"/>
      <c r="C1092" s="61"/>
      <c r="D1092" s="61"/>
      <c r="E1092" s="61"/>
      <c r="F1092" s="61"/>
      <c r="G1092" s="179"/>
      <c r="H1092" s="61"/>
      <c r="I1092" s="61"/>
      <c r="J1092" s="61"/>
      <c r="K1092" s="61"/>
      <c r="L1092" s="61"/>
      <c r="M1092" s="61"/>
      <c r="N1092" s="61"/>
      <c r="O1092" s="61"/>
      <c r="P1092" s="61"/>
      <c r="Q1092" s="61"/>
      <c r="R1092" s="61"/>
      <c r="S1092" s="61"/>
      <c r="T1092" s="61"/>
      <c r="U1092" s="61"/>
      <c r="V1092" s="61"/>
      <c r="W1092" s="61"/>
      <c r="X1092" s="61"/>
      <c r="Y1092" s="61"/>
      <c r="Z1092" s="61"/>
    </row>
    <row r="1093" spans="1:26" ht="13">
      <c r="A1093" s="61"/>
      <c r="B1093" s="61"/>
      <c r="C1093" s="61"/>
      <c r="D1093" s="61"/>
      <c r="E1093" s="61"/>
      <c r="F1093" s="61"/>
      <c r="G1093" s="179"/>
      <c r="H1093" s="61"/>
      <c r="I1093" s="61"/>
      <c r="J1093" s="61"/>
      <c r="K1093" s="61"/>
      <c r="L1093" s="61"/>
      <c r="M1093" s="61"/>
      <c r="N1093" s="61"/>
      <c r="O1093" s="61"/>
      <c r="P1093" s="61"/>
      <c r="Q1093" s="61"/>
      <c r="R1093" s="61"/>
      <c r="S1093" s="61"/>
      <c r="T1093" s="61"/>
      <c r="U1093" s="61"/>
      <c r="V1093" s="61"/>
      <c r="W1093" s="61"/>
      <c r="X1093" s="61"/>
      <c r="Y1093" s="61"/>
      <c r="Z1093" s="61"/>
    </row>
    <row r="1094" spans="1:26" ht="13">
      <c r="A1094" s="61"/>
      <c r="B1094" s="61"/>
      <c r="C1094" s="61"/>
      <c r="D1094" s="61"/>
      <c r="E1094" s="61"/>
      <c r="F1094" s="61"/>
      <c r="G1094" s="179"/>
      <c r="H1094" s="61"/>
      <c r="I1094" s="61"/>
      <c r="J1094" s="61"/>
      <c r="K1094" s="61"/>
      <c r="L1094" s="61"/>
      <c r="M1094" s="61"/>
      <c r="N1094" s="61"/>
      <c r="O1094" s="61"/>
      <c r="P1094" s="61"/>
      <c r="Q1094" s="61"/>
      <c r="R1094" s="61"/>
      <c r="S1094" s="61"/>
      <c r="T1094" s="61"/>
      <c r="U1094" s="61"/>
      <c r="V1094" s="61"/>
      <c r="W1094" s="61"/>
      <c r="X1094" s="61"/>
      <c r="Y1094" s="61"/>
      <c r="Z1094" s="61"/>
    </row>
    <row r="1095" spans="1:26" ht="13">
      <c r="A1095" s="61"/>
      <c r="B1095" s="61"/>
      <c r="C1095" s="61"/>
      <c r="D1095" s="61"/>
      <c r="E1095" s="61"/>
      <c r="F1095" s="61"/>
      <c r="G1095" s="179"/>
      <c r="H1095" s="61"/>
      <c r="I1095" s="61"/>
      <c r="J1095" s="61"/>
      <c r="K1095" s="61"/>
      <c r="L1095" s="61"/>
      <c r="M1095" s="61"/>
      <c r="N1095" s="61"/>
      <c r="O1095" s="61"/>
      <c r="P1095" s="61"/>
      <c r="Q1095" s="61"/>
      <c r="R1095" s="61"/>
      <c r="S1095" s="61"/>
      <c r="T1095" s="61"/>
      <c r="U1095" s="61"/>
      <c r="V1095" s="61"/>
      <c r="W1095" s="61"/>
      <c r="X1095" s="61"/>
      <c r="Y1095" s="61"/>
      <c r="Z1095" s="61"/>
    </row>
    <row r="1096" spans="1:26" ht="13">
      <c r="A1096" s="61"/>
      <c r="B1096" s="61"/>
      <c r="C1096" s="61"/>
      <c r="D1096" s="61"/>
      <c r="E1096" s="61"/>
      <c r="F1096" s="61"/>
      <c r="G1096" s="179"/>
      <c r="H1096" s="61"/>
      <c r="I1096" s="61"/>
      <c r="J1096" s="61"/>
      <c r="K1096" s="61"/>
      <c r="L1096" s="61"/>
      <c r="M1096" s="61"/>
      <c r="N1096" s="61"/>
      <c r="O1096" s="61"/>
      <c r="P1096" s="61"/>
      <c r="Q1096" s="61"/>
      <c r="R1096" s="61"/>
      <c r="S1096" s="61"/>
      <c r="T1096" s="61"/>
      <c r="U1096" s="61"/>
      <c r="V1096" s="61"/>
      <c r="W1096" s="61"/>
      <c r="X1096" s="61"/>
      <c r="Y1096" s="61"/>
      <c r="Z1096" s="61"/>
    </row>
    <row r="1097" spans="1:26" ht="13">
      <c r="A1097" s="61"/>
      <c r="B1097" s="61"/>
      <c r="C1097" s="61"/>
      <c r="D1097" s="61"/>
      <c r="E1097" s="61"/>
      <c r="F1097" s="61"/>
      <c r="G1097" s="179"/>
      <c r="H1097" s="61"/>
      <c r="I1097" s="61"/>
      <c r="J1097" s="61"/>
      <c r="K1097" s="61"/>
      <c r="L1097" s="61"/>
      <c r="M1097" s="61"/>
      <c r="N1097" s="61"/>
      <c r="O1097" s="61"/>
      <c r="P1097" s="61"/>
      <c r="Q1097" s="61"/>
      <c r="R1097" s="61"/>
      <c r="S1097" s="61"/>
      <c r="T1097" s="61"/>
      <c r="U1097" s="61"/>
      <c r="V1097" s="61"/>
      <c r="W1097" s="61"/>
      <c r="X1097" s="61"/>
      <c r="Y1097" s="61"/>
      <c r="Z1097" s="61"/>
    </row>
    <row r="1098" spans="1:26" ht="13">
      <c r="A1098" s="61"/>
      <c r="B1098" s="61"/>
      <c r="C1098" s="61"/>
      <c r="D1098" s="61"/>
      <c r="E1098" s="61"/>
      <c r="F1098" s="61"/>
      <c r="G1098" s="179"/>
      <c r="H1098" s="61"/>
      <c r="I1098" s="61"/>
      <c r="J1098" s="61"/>
      <c r="K1098" s="61"/>
      <c r="L1098" s="61"/>
      <c r="M1098" s="61"/>
      <c r="N1098" s="61"/>
      <c r="O1098" s="61"/>
      <c r="P1098" s="61"/>
      <c r="Q1098" s="61"/>
      <c r="R1098" s="61"/>
      <c r="S1098" s="61"/>
      <c r="T1098" s="61"/>
      <c r="U1098" s="61"/>
      <c r="V1098" s="61"/>
      <c r="W1098" s="61"/>
      <c r="X1098" s="61"/>
      <c r="Y1098" s="61"/>
      <c r="Z1098" s="61"/>
    </row>
    <row r="1099" spans="1:26" ht="13">
      <c r="A1099" s="61"/>
      <c r="B1099" s="61"/>
      <c r="C1099" s="61"/>
      <c r="D1099" s="61"/>
      <c r="E1099" s="61"/>
      <c r="F1099" s="61"/>
      <c r="G1099" s="179"/>
      <c r="H1099" s="61"/>
      <c r="I1099" s="61"/>
      <c r="J1099" s="61"/>
      <c r="K1099" s="61"/>
      <c r="L1099" s="61"/>
      <c r="M1099" s="61"/>
      <c r="N1099" s="61"/>
      <c r="O1099" s="61"/>
      <c r="P1099" s="61"/>
      <c r="Q1099" s="61"/>
      <c r="R1099" s="61"/>
      <c r="S1099" s="61"/>
      <c r="T1099" s="61"/>
      <c r="U1099" s="61"/>
      <c r="V1099" s="61"/>
      <c r="W1099" s="61"/>
      <c r="X1099" s="61"/>
      <c r="Y1099" s="61"/>
      <c r="Z1099" s="61"/>
    </row>
    <row r="1100" spans="1:26" ht="13">
      <c r="A1100" s="61"/>
      <c r="B1100" s="61"/>
      <c r="C1100" s="61"/>
      <c r="D1100" s="61"/>
      <c r="E1100" s="61"/>
      <c r="F1100" s="61"/>
      <c r="G1100" s="179"/>
      <c r="H1100" s="61"/>
      <c r="I1100" s="61"/>
      <c r="J1100" s="61"/>
      <c r="K1100" s="61"/>
      <c r="L1100" s="61"/>
      <c r="M1100" s="61"/>
      <c r="N1100" s="61"/>
      <c r="O1100" s="61"/>
      <c r="P1100" s="61"/>
      <c r="Q1100" s="61"/>
      <c r="R1100" s="61"/>
      <c r="S1100" s="61"/>
      <c r="T1100" s="61"/>
      <c r="U1100" s="61"/>
      <c r="V1100" s="61"/>
      <c r="W1100" s="61"/>
      <c r="X1100" s="61"/>
      <c r="Y1100" s="61"/>
      <c r="Z1100" s="61"/>
    </row>
    <row r="1101" spans="1:26" ht="13">
      <c r="A1101" s="61"/>
      <c r="B1101" s="61"/>
      <c r="C1101" s="61"/>
      <c r="D1101" s="61"/>
      <c r="E1101" s="61"/>
      <c r="F1101" s="61"/>
      <c r="G1101" s="179"/>
      <c r="H1101" s="61"/>
      <c r="I1101" s="61"/>
      <c r="J1101" s="61"/>
      <c r="K1101" s="61"/>
      <c r="L1101" s="61"/>
      <c r="M1101" s="61"/>
      <c r="N1101" s="61"/>
      <c r="O1101" s="61"/>
      <c r="P1101" s="61"/>
      <c r="Q1101" s="61"/>
      <c r="R1101" s="61"/>
      <c r="S1101" s="61"/>
      <c r="T1101" s="61"/>
      <c r="U1101" s="61"/>
      <c r="V1101" s="61"/>
      <c r="W1101" s="61"/>
      <c r="X1101" s="61"/>
      <c r="Y1101" s="61"/>
      <c r="Z1101" s="61"/>
    </row>
    <row r="1102" spans="1:26" ht="13">
      <c r="A1102" s="61"/>
      <c r="B1102" s="61"/>
      <c r="C1102" s="61"/>
      <c r="D1102" s="61"/>
      <c r="E1102" s="61"/>
      <c r="F1102" s="61"/>
      <c r="G1102" s="179"/>
      <c r="H1102" s="61"/>
      <c r="I1102" s="61"/>
      <c r="J1102" s="61"/>
      <c r="K1102" s="61"/>
      <c r="L1102" s="61"/>
      <c r="M1102" s="61"/>
      <c r="N1102" s="61"/>
      <c r="O1102" s="61"/>
      <c r="P1102" s="61"/>
      <c r="Q1102" s="61"/>
      <c r="R1102" s="61"/>
      <c r="S1102" s="61"/>
      <c r="T1102" s="61"/>
      <c r="U1102" s="61"/>
      <c r="V1102" s="61"/>
      <c r="W1102" s="61"/>
      <c r="X1102" s="61"/>
      <c r="Y1102" s="61"/>
      <c r="Z1102" s="61"/>
    </row>
    <row r="1103" spans="1:26" ht="13">
      <c r="A1103" s="61"/>
      <c r="B1103" s="61"/>
      <c r="C1103" s="61"/>
      <c r="D1103" s="61"/>
      <c r="E1103" s="61"/>
      <c r="F1103" s="61"/>
      <c r="G1103" s="179"/>
      <c r="H1103" s="61"/>
      <c r="I1103" s="61"/>
      <c r="J1103" s="61"/>
      <c r="K1103" s="61"/>
      <c r="L1103" s="61"/>
      <c r="M1103" s="61"/>
      <c r="N1103" s="61"/>
      <c r="O1103" s="61"/>
      <c r="P1103" s="61"/>
      <c r="Q1103" s="61"/>
      <c r="R1103" s="61"/>
      <c r="S1103" s="61"/>
      <c r="T1103" s="61"/>
      <c r="U1103" s="61"/>
      <c r="V1103" s="61"/>
      <c r="W1103" s="61"/>
      <c r="X1103" s="61"/>
      <c r="Y1103" s="61"/>
      <c r="Z1103" s="61"/>
    </row>
    <row r="1104" spans="1:26" ht="13">
      <c r="A1104" s="61"/>
      <c r="B1104" s="61"/>
      <c r="C1104" s="61"/>
      <c r="D1104" s="61"/>
      <c r="E1104" s="61"/>
      <c r="F1104" s="61"/>
      <c r="G1104" s="179"/>
      <c r="H1104" s="61"/>
      <c r="I1104" s="61"/>
      <c r="J1104" s="61"/>
      <c r="K1104" s="61"/>
      <c r="L1104" s="61"/>
      <c r="M1104" s="61"/>
      <c r="N1104" s="61"/>
      <c r="O1104" s="61"/>
      <c r="P1104" s="61"/>
      <c r="Q1104" s="61"/>
      <c r="R1104" s="61"/>
      <c r="S1104" s="61"/>
      <c r="T1104" s="61"/>
      <c r="U1104" s="61"/>
      <c r="V1104" s="61"/>
      <c r="W1104" s="61"/>
      <c r="X1104" s="61"/>
      <c r="Y1104" s="61"/>
      <c r="Z1104" s="61"/>
    </row>
    <row r="1105" spans="1:26" ht="13">
      <c r="A1105" s="61"/>
      <c r="B1105" s="61"/>
      <c r="C1105" s="61"/>
      <c r="D1105" s="61"/>
      <c r="E1105" s="61"/>
      <c r="F1105" s="61"/>
      <c r="G1105" s="179"/>
      <c r="H1105" s="61"/>
      <c r="I1105" s="61"/>
      <c r="J1105" s="61"/>
      <c r="K1105" s="61"/>
      <c r="L1105" s="61"/>
      <c r="M1105" s="61"/>
      <c r="N1105" s="61"/>
      <c r="O1105" s="61"/>
      <c r="P1105" s="61"/>
      <c r="Q1105" s="61"/>
      <c r="R1105" s="61"/>
      <c r="S1105" s="61"/>
      <c r="T1105" s="61"/>
      <c r="U1105" s="61"/>
      <c r="V1105" s="61"/>
      <c r="W1105" s="61"/>
      <c r="X1105" s="61"/>
      <c r="Y1105" s="61"/>
      <c r="Z1105" s="61"/>
    </row>
    <row r="1106" spans="1:26" ht="13">
      <c r="A1106" s="61"/>
      <c r="B1106" s="61"/>
      <c r="C1106" s="61"/>
      <c r="D1106" s="61"/>
      <c r="E1106" s="61"/>
      <c r="F1106" s="61"/>
      <c r="G1106" s="179"/>
      <c r="H1106" s="61"/>
      <c r="I1106" s="61"/>
      <c r="J1106" s="61"/>
      <c r="K1106" s="61"/>
      <c r="L1106" s="61"/>
      <c r="M1106" s="61"/>
      <c r="N1106" s="61"/>
      <c r="O1106" s="61"/>
      <c r="P1106" s="61"/>
      <c r="Q1106" s="61"/>
      <c r="R1106" s="61"/>
      <c r="S1106" s="61"/>
      <c r="T1106" s="61"/>
      <c r="U1106" s="61"/>
      <c r="V1106" s="61"/>
      <c r="W1106" s="61"/>
      <c r="X1106" s="61"/>
      <c r="Y1106" s="61"/>
      <c r="Z1106" s="61"/>
    </row>
    <row r="1107" spans="1:26" ht="13">
      <c r="A1107" s="61"/>
      <c r="B1107" s="61"/>
      <c r="C1107" s="61"/>
      <c r="D1107" s="61"/>
      <c r="E1107" s="61"/>
      <c r="F1107" s="61"/>
      <c r="G1107" s="179"/>
      <c r="H1107" s="61"/>
      <c r="I1107" s="61"/>
      <c r="J1107" s="61"/>
      <c r="K1107" s="61"/>
      <c r="L1107" s="61"/>
      <c r="M1107" s="61"/>
      <c r="N1107" s="61"/>
      <c r="O1107" s="61"/>
      <c r="P1107" s="61"/>
      <c r="Q1107" s="61"/>
      <c r="R1107" s="61"/>
      <c r="S1107" s="61"/>
      <c r="T1107" s="61"/>
      <c r="U1107" s="61"/>
      <c r="V1107" s="61"/>
      <c r="W1107" s="61"/>
      <c r="X1107" s="61"/>
      <c r="Y1107" s="61"/>
      <c r="Z1107" s="61"/>
    </row>
    <row r="1108" spans="1:26" ht="13">
      <c r="A1108" s="61"/>
      <c r="B1108" s="61"/>
      <c r="C1108" s="61"/>
      <c r="D1108" s="61"/>
      <c r="E1108" s="61"/>
      <c r="F1108" s="61"/>
      <c r="G1108" s="179"/>
      <c r="H1108" s="61"/>
      <c r="I1108" s="61"/>
      <c r="J1108" s="61"/>
      <c r="K1108" s="61"/>
      <c r="L1108" s="61"/>
      <c r="M1108" s="61"/>
      <c r="N1108" s="61"/>
      <c r="O1108" s="61"/>
      <c r="P1108" s="61"/>
      <c r="Q1108" s="61"/>
      <c r="R1108" s="61"/>
      <c r="S1108" s="61"/>
      <c r="T1108" s="61"/>
      <c r="U1108" s="61"/>
      <c r="V1108" s="61"/>
      <c r="W1108" s="61"/>
      <c r="X1108" s="61"/>
      <c r="Y1108" s="61"/>
      <c r="Z1108" s="61"/>
    </row>
    <row r="1109" spans="1:26" ht="13">
      <c r="A1109" s="61"/>
      <c r="B1109" s="61"/>
      <c r="C1109" s="61"/>
      <c r="D1109" s="61"/>
      <c r="E1109" s="61"/>
      <c r="F1109" s="61"/>
      <c r="G1109" s="179"/>
      <c r="H1109" s="61"/>
      <c r="I1109" s="61"/>
      <c r="J1109" s="61"/>
      <c r="K1109" s="61"/>
      <c r="L1109" s="61"/>
      <c r="M1109" s="61"/>
      <c r="N1109" s="61"/>
      <c r="O1109" s="61"/>
      <c r="P1109" s="61"/>
      <c r="Q1109" s="61"/>
      <c r="R1109" s="61"/>
      <c r="S1109" s="61"/>
      <c r="T1109" s="61"/>
      <c r="U1109" s="61"/>
      <c r="V1109" s="61"/>
      <c r="W1109" s="61"/>
      <c r="X1109" s="61"/>
      <c r="Y1109" s="61"/>
      <c r="Z1109" s="61"/>
    </row>
    <row r="1110" spans="1:26" ht="13">
      <c r="A1110" s="61"/>
      <c r="B1110" s="61"/>
      <c r="C1110" s="61"/>
      <c r="D1110" s="61"/>
      <c r="E1110" s="61"/>
      <c r="F1110" s="61"/>
      <c r="G1110" s="179"/>
      <c r="H1110" s="61"/>
      <c r="I1110" s="61"/>
      <c r="J1110" s="61"/>
      <c r="K1110" s="61"/>
      <c r="L1110" s="61"/>
      <c r="M1110" s="61"/>
      <c r="N1110" s="61"/>
      <c r="O1110" s="61"/>
      <c r="P1110" s="61"/>
      <c r="Q1110" s="61"/>
      <c r="R1110" s="61"/>
      <c r="S1110" s="61"/>
      <c r="T1110" s="61"/>
      <c r="U1110" s="61"/>
      <c r="V1110" s="61"/>
      <c r="W1110" s="61"/>
      <c r="X1110" s="61"/>
      <c r="Y1110" s="61"/>
      <c r="Z1110" s="61"/>
    </row>
    <row r="1111" spans="1:26" ht="13">
      <c r="A1111" s="61"/>
      <c r="B1111" s="61"/>
      <c r="C1111" s="61"/>
      <c r="D1111" s="61"/>
      <c r="E1111" s="61"/>
      <c r="F1111" s="61"/>
      <c r="G1111" s="179"/>
      <c r="H1111" s="61"/>
      <c r="I1111" s="61"/>
      <c r="J1111" s="61"/>
      <c r="K1111" s="61"/>
      <c r="L1111" s="61"/>
      <c r="M1111" s="61"/>
      <c r="N1111" s="61"/>
      <c r="O1111" s="61"/>
      <c r="P1111" s="61"/>
      <c r="Q1111" s="61"/>
      <c r="R1111" s="61"/>
      <c r="S1111" s="61"/>
      <c r="T1111" s="61"/>
      <c r="U1111" s="61"/>
      <c r="V1111" s="61"/>
      <c r="W1111" s="61"/>
      <c r="X1111" s="61"/>
      <c r="Y1111" s="61"/>
      <c r="Z1111" s="61"/>
    </row>
    <row r="1112" spans="1:26" ht="13">
      <c r="A1112" s="61"/>
      <c r="B1112" s="61"/>
      <c r="C1112" s="61"/>
      <c r="D1112" s="61"/>
      <c r="E1112" s="61"/>
      <c r="F1112" s="61"/>
      <c r="G1112" s="179"/>
      <c r="H1112" s="61"/>
      <c r="I1112" s="61"/>
      <c r="J1112" s="61"/>
      <c r="K1112" s="61"/>
      <c r="L1112" s="61"/>
      <c r="M1112" s="61"/>
      <c r="N1112" s="61"/>
      <c r="O1112" s="61"/>
      <c r="P1112" s="61"/>
      <c r="Q1112" s="61"/>
      <c r="R1112" s="61"/>
      <c r="S1112" s="61"/>
      <c r="T1112" s="61"/>
      <c r="U1112" s="61"/>
      <c r="V1112" s="61"/>
      <c r="W1112" s="61"/>
      <c r="X1112" s="61"/>
      <c r="Y1112" s="61"/>
      <c r="Z1112" s="61"/>
    </row>
    <row r="1113" spans="1:26" ht="13">
      <c r="A1113" s="61"/>
      <c r="B1113" s="61"/>
      <c r="C1113" s="61"/>
      <c r="D1113" s="61"/>
      <c r="E1113" s="61"/>
      <c r="F1113" s="61"/>
      <c r="G1113" s="179"/>
      <c r="H1113" s="61"/>
      <c r="I1113" s="61"/>
      <c r="J1113" s="61"/>
      <c r="K1113" s="61"/>
      <c r="L1113" s="61"/>
      <c r="M1113" s="61"/>
      <c r="N1113" s="61"/>
      <c r="O1113" s="61"/>
      <c r="P1113" s="61"/>
      <c r="Q1113" s="61"/>
      <c r="R1113" s="61"/>
      <c r="S1113" s="61"/>
      <c r="T1113" s="61"/>
      <c r="U1113" s="61"/>
      <c r="V1113" s="61"/>
      <c r="W1113" s="61"/>
      <c r="X1113" s="61"/>
      <c r="Y1113" s="61"/>
      <c r="Z1113" s="61"/>
    </row>
    <row r="1114" spans="1:26" ht="13">
      <c r="A1114" s="61"/>
      <c r="B1114" s="61"/>
      <c r="C1114" s="61"/>
      <c r="D1114" s="61"/>
      <c r="E1114" s="61"/>
      <c r="F1114" s="61"/>
      <c r="G1114" s="179"/>
      <c r="H1114" s="61"/>
      <c r="I1114" s="61"/>
      <c r="J1114" s="61"/>
      <c r="K1114" s="61"/>
      <c r="L1114" s="61"/>
      <c r="M1114" s="61"/>
      <c r="N1114" s="61"/>
      <c r="O1114" s="61"/>
      <c r="P1114" s="61"/>
      <c r="Q1114" s="61"/>
      <c r="R1114" s="61"/>
      <c r="S1114" s="61"/>
      <c r="T1114" s="61"/>
      <c r="U1114" s="61"/>
      <c r="V1114" s="61"/>
      <c r="W1114" s="61"/>
      <c r="X1114" s="61"/>
      <c r="Y1114" s="61"/>
      <c r="Z1114" s="61"/>
    </row>
    <row r="1115" spans="1:26" ht="13">
      <c r="A1115" s="61"/>
      <c r="B1115" s="61"/>
      <c r="C1115" s="61"/>
      <c r="D1115" s="61"/>
      <c r="E1115" s="61"/>
      <c r="F1115" s="61"/>
      <c r="G1115" s="179"/>
      <c r="H1115" s="61"/>
      <c r="I1115" s="61"/>
      <c r="J1115" s="61"/>
      <c r="K1115" s="61"/>
      <c r="L1115" s="61"/>
      <c r="M1115" s="61"/>
      <c r="N1115" s="61"/>
      <c r="O1115" s="61"/>
      <c r="P1115" s="61"/>
      <c r="Q1115" s="61"/>
      <c r="R1115" s="61"/>
      <c r="S1115" s="61"/>
      <c r="T1115" s="61"/>
      <c r="U1115" s="61"/>
      <c r="V1115" s="61"/>
      <c r="W1115" s="61"/>
      <c r="X1115" s="61"/>
      <c r="Y1115" s="61"/>
      <c r="Z1115" s="61"/>
    </row>
    <row r="1116" spans="1:26" ht="13">
      <c r="A1116" s="61"/>
      <c r="B1116" s="61"/>
      <c r="C1116" s="61"/>
      <c r="D1116" s="61"/>
      <c r="E1116" s="61"/>
      <c r="F1116" s="61"/>
      <c r="G1116" s="179"/>
      <c r="H1116" s="61"/>
      <c r="I1116" s="61"/>
      <c r="J1116" s="61"/>
      <c r="K1116" s="61"/>
      <c r="L1116" s="61"/>
      <c r="M1116" s="61"/>
      <c r="N1116" s="61"/>
      <c r="O1116" s="61"/>
      <c r="P1116" s="61"/>
      <c r="Q1116" s="61"/>
      <c r="R1116" s="61"/>
      <c r="S1116" s="61"/>
      <c r="T1116" s="61"/>
      <c r="U1116" s="61"/>
      <c r="V1116" s="61"/>
      <c r="W1116" s="61"/>
      <c r="X1116" s="61"/>
      <c r="Y1116" s="61"/>
      <c r="Z1116" s="61"/>
    </row>
    <row r="1117" spans="1:26" ht="13">
      <c r="A1117" s="61"/>
      <c r="B1117" s="61"/>
      <c r="C1117" s="61"/>
      <c r="D1117" s="61"/>
      <c r="E1117" s="61"/>
      <c r="F1117" s="61"/>
      <c r="G1117" s="179"/>
      <c r="H1117" s="61"/>
      <c r="I1117" s="61"/>
      <c r="J1117" s="61"/>
      <c r="K1117" s="61"/>
      <c r="L1117" s="61"/>
      <c r="M1117" s="61"/>
      <c r="N1117" s="61"/>
      <c r="O1117" s="61"/>
      <c r="P1117" s="61"/>
      <c r="Q1117" s="61"/>
      <c r="R1117" s="61"/>
      <c r="S1117" s="61"/>
      <c r="T1117" s="61"/>
      <c r="U1117" s="61"/>
      <c r="V1117" s="61"/>
      <c r="W1117" s="61"/>
      <c r="X1117" s="61"/>
      <c r="Y1117" s="61"/>
      <c r="Z1117" s="61"/>
    </row>
    <row r="1118" spans="1:26" ht="13">
      <c r="A1118" s="61"/>
      <c r="B1118" s="61"/>
      <c r="C1118" s="61"/>
      <c r="D1118" s="61"/>
      <c r="E1118" s="61"/>
      <c r="F1118" s="61"/>
      <c r="G1118" s="179"/>
      <c r="H1118" s="61"/>
      <c r="I1118" s="61"/>
      <c r="J1118" s="61"/>
      <c r="K1118" s="61"/>
      <c r="L1118" s="61"/>
      <c r="M1118" s="61"/>
      <c r="N1118" s="61"/>
      <c r="O1118" s="61"/>
      <c r="P1118" s="61"/>
      <c r="Q1118" s="61"/>
      <c r="R1118" s="61"/>
      <c r="S1118" s="61"/>
      <c r="T1118" s="61"/>
      <c r="U1118" s="61"/>
      <c r="V1118" s="61"/>
      <c r="W1118" s="61"/>
      <c r="X1118" s="61"/>
      <c r="Y1118" s="61"/>
      <c r="Z1118" s="61"/>
    </row>
    <row r="1119" spans="1:26" ht="13">
      <c r="A1119" s="61"/>
      <c r="B1119" s="61"/>
      <c r="C1119" s="61"/>
      <c r="D1119" s="61"/>
      <c r="E1119" s="61"/>
      <c r="F1119" s="61"/>
      <c r="G1119" s="179"/>
      <c r="H1119" s="61"/>
      <c r="I1119" s="61"/>
      <c r="J1119" s="61"/>
      <c r="K1119" s="61"/>
      <c r="L1119" s="61"/>
      <c r="M1119" s="61"/>
      <c r="N1119" s="61"/>
      <c r="O1119" s="61"/>
      <c r="P1119" s="61"/>
      <c r="Q1119" s="61"/>
      <c r="R1119" s="61"/>
      <c r="S1119" s="61"/>
      <c r="T1119" s="61"/>
      <c r="U1119" s="61"/>
      <c r="V1119" s="61"/>
      <c r="W1119" s="61"/>
      <c r="X1119" s="61"/>
      <c r="Y1119" s="61"/>
      <c r="Z1119" s="61"/>
    </row>
    <row r="1120" spans="1:26" ht="13">
      <c r="A1120" s="61"/>
      <c r="B1120" s="61"/>
      <c r="C1120" s="61"/>
      <c r="D1120" s="61"/>
      <c r="E1120" s="61"/>
      <c r="F1120" s="61"/>
      <c r="G1120" s="179"/>
      <c r="H1120" s="61"/>
      <c r="I1120" s="61"/>
      <c r="J1120" s="61"/>
      <c r="K1120" s="61"/>
      <c r="L1120" s="61"/>
      <c r="M1120" s="61"/>
      <c r="N1120" s="61"/>
      <c r="O1120" s="61"/>
      <c r="P1120" s="61"/>
      <c r="Q1120" s="61"/>
      <c r="R1120" s="61"/>
      <c r="S1120" s="61"/>
      <c r="T1120" s="61"/>
      <c r="U1120" s="61"/>
      <c r="V1120" s="61"/>
      <c r="W1120" s="61"/>
      <c r="X1120" s="61"/>
      <c r="Y1120" s="61"/>
      <c r="Z1120" s="61"/>
    </row>
    <row r="1121" spans="1:26" ht="13">
      <c r="A1121" s="61"/>
      <c r="B1121" s="61"/>
      <c r="C1121" s="61"/>
      <c r="D1121" s="61"/>
      <c r="E1121" s="61"/>
      <c r="F1121" s="61"/>
      <c r="G1121" s="179"/>
      <c r="H1121" s="61"/>
      <c r="I1121" s="61"/>
      <c r="J1121" s="61"/>
      <c r="K1121" s="61"/>
      <c r="L1121" s="61"/>
      <c r="M1121" s="61"/>
      <c r="N1121" s="61"/>
      <c r="O1121" s="61"/>
      <c r="P1121" s="61"/>
      <c r="Q1121" s="61"/>
      <c r="R1121" s="61"/>
      <c r="S1121" s="61"/>
      <c r="T1121" s="61"/>
      <c r="U1121" s="61"/>
      <c r="V1121" s="61"/>
      <c r="W1121" s="61"/>
      <c r="X1121" s="61"/>
      <c r="Y1121" s="61"/>
      <c r="Z1121" s="61"/>
    </row>
    <row r="1122" spans="1:26" ht="13">
      <c r="A1122" s="61"/>
      <c r="B1122" s="61"/>
      <c r="C1122" s="61"/>
      <c r="D1122" s="61"/>
      <c r="E1122" s="61"/>
      <c r="F1122" s="61"/>
      <c r="G1122" s="179"/>
      <c r="H1122" s="61"/>
      <c r="I1122" s="61"/>
      <c r="J1122" s="61"/>
      <c r="K1122" s="61"/>
      <c r="L1122" s="61"/>
      <c r="M1122" s="61"/>
      <c r="N1122" s="61"/>
      <c r="O1122" s="61"/>
      <c r="P1122" s="61"/>
      <c r="Q1122" s="61"/>
      <c r="R1122" s="61"/>
      <c r="S1122" s="61"/>
      <c r="T1122" s="61"/>
      <c r="U1122" s="61"/>
      <c r="V1122" s="61"/>
      <c r="W1122" s="61"/>
      <c r="X1122" s="61"/>
      <c r="Y1122" s="61"/>
      <c r="Z1122" s="61"/>
    </row>
    <row r="1123" spans="1:26" ht="13">
      <c r="A1123" s="61"/>
      <c r="B1123" s="61"/>
      <c r="C1123" s="61"/>
      <c r="D1123" s="61"/>
      <c r="E1123" s="61"/>
      <c r="F1123" s="61"/>
      <c r="G1123" s="179"/>
      <c r="H1123" s="61"/>
      <c r="I1123" s="61"/>
      <c r="J1123" s="61"/>
      <c r="K1123" s="61"/>
      <c r="L1123" s="61"/>
      <c r="M1123" s="61"/>
      <c r="N1123" s="61"/>
      <c r="O1123" s="61"/>
      <c r="P1123" s="61"/>
      <c r="Q1123" s="61"/>
      <c r="R1123" s="61"/>
      <c r="S1123" s="61"/>
      <c r="T1123" s="61"/>
      <c r="U1123" s="61"/>
      <c r="V1123" s="61"/>
      <c r="W1123" s="61"/>
      <c r="X1123" s="61"/>
      <c r="Y1123" s="61"/>
      <c r="Z1123" s="61"/>
    </row>
    <row r="1124" spans="1:26" ht="13">
      <c r="A1124" s="61"/>
      <c r="B1124" s="61"/>
      <c r="C1124" s="61"/>
      <c r="D1124" s="61"/>
      <c r="E1124" s="61"/>
      <c r="F1124" s="61"/>
      <c r="G1124" s="179"/>
      <c r="H1124" s="61"/>
      <c r="I1124" s="61"/>
      <c r="J1124" s="61"/>
      <c r="K1124" s="61"/>
      <c r="L1124" s="61"/>
      <c r="M1124" s="61"/>
      <c r="N1124" s="61"/>
      <c r="O1124" s="61"/>
      <c r="P1124" s="61"/>
      <c r="Q1124" s="61"/>
      <c r="R1124" s="61"/>
      <c r="S1124" s="61"/>
      <c r="T1124" s="61"/>
      <c r="U1124" s="61"/>
      <c r="V1124" s="61"/>
      <c r="W1124" s="61"/>
      <c r="X1124" s="61"/>
      <c r="Y1124" s="61"/>
      <c r="Z1124" s="61"/>
    </row>
    <row r="1125" spans="1:26" ht="13">
      <c r="A1125" s="61"/>
      <c r="B1125" s="61"/>
      <c r="C1125" s="61"/>
      <c r="D1125" s="61"/>
      <c r="E1125" s="61"/>
      <c r="F1125" s="61"/>
      <c r="G1125" s="179"/>
      <c r="H1125" s="61"/>
      <c r="I1125" s="61"/>
      <c r="J1125" s="61"/>
      <c r="K1125" s="61"/>
      <c r="L1125" s="61"/>
      <c r="M1125" s="61"/>
      <c r="N1125" s="61"/>
      <c r="O1125" s="61"/>
      <c r="P1125" s="61"/>
      <c r="Q1125" s="61"/>
      <c r="R1125" s="61"/>
      <c r="S1125" s="61"/>
      <c r="T1125" s="61"/>
      <c r="U1125" s="61"/>
      <c r="V1125" s="61"/>
      <c r="W1125" s="61"/>
      <c r="X1125" s="61"/>
      <c r="Y1125" s="61"/>
      <c r="Z1125" s="61"/>
    </row>
    <row r="1126" spans="1:26" ht="13">
      <c r="A1126" s="61"/>
      <c r="B1126" s="61"/>
      <c r="C1126" s="61"/>
      <c r="D1126" s="61"/>
      <c r="E1126" s="61"/>
      <c r="F1126" s="61"/>
      <c r="G1126" s="179"/>
      <c r="H1126" s="61"/>
      <c r="I1126" s="61"/>
      <c r="J1126" s="61"/>
      <c r="K1126" s="61"/>
      <c r="L1126" s="61"/>
      <c r="M1126" s="61"/>
      <c r="N1126" s="61"/>
      <c r="O1126" s="61"/>
      <c r="P1126" s="61"/>
      <c r="Q1126" s="61"/>
      <c r="R1126" s="61"/>
      <c r="S1126" s="61"/>
      <c r="T1126" s="61"/>
      <c r="U1126" s="61"/>
      <c r="V1126" s="61"/>
      <c r="W1126" s="61"/>
      <c r="X1126" s="61"/>
      <c r="Y1126" s="61"/>
      <c r="Z1126" s="61"/>
    </row>
    <row r="1127" spans="1:26" ht="13">
      <c r="A1127" s="61"/>
      <c r="B1127" s="61"/>
      <c r="C1127" s="61"/>
      <c r="D1127" s="61"/>
      <c r="E1127" s="61"/>
      <c r="F1127" s="61"/>
      <c r="G1127" s="179"/>
      <c r="H1127" s="61"/>
      <c r="I1127" s="61"/>
      <c r="J1127" s="61"/>
      <c r="K1127" s="61"/>
      <c r="L1127" s="61"/>
      <c r="M1127" s="61"/>
      <c r="N1127" s="61"/>
      <c r="O1127" s="61"/>
      <c r="P1127" s="61"/>
      <c r="Q1127" s="61"/>
      <c r="R1127" s="61"/>
      <c r="S1127" s="61"/>
      <c r="T1127" s="61"/>
      <c r="U1127" s="61"/>
      <c r="V1127" s="61"/>
      <c r="W1127" s="61"/>
      <c r="X1127" s="61"/>
      <c r="Y1127" s="61"/>
      <c r="Z1127" s="61"/>
    </row>
    <row r="1128" spans="1:26" ht="13">
      <c r="A1128" s="61"/>
      <c r="B1128" s="61"/>
      <c r="C1128" s="61"/>
      <c r="D1128" s="61"/>
      <c r="E1128" s="61"/>
      <c r="F1128" s="61"/>
      <c r="G1128" s="179"/>
      <c r="H1128" s="61"/>
      <c r="I1128" s="61"/>
      <c r="J1128" s="61"/>
      <c r="K1128" s="61"/>
      <c r="L1128" s="61"/>
      <c r="M1128" s="61"/>
      <c r="N1128" s="61"/>
      <c r="O1128" s="61"/>
      <c r="P1128" s="61"/>
      <c r="Q1128" s="61"/>
      <c r="R1128" s="61"/>
      <c r="S1128" s="61"/>
      <c r="T1128" s="61"/>
      <c r="U1128" s="61"/>
      <c r="V1128" s="61"/>
      <c r="W1128" s="61"/>
      <c r="X1128" s="61"/>
      <c r="Y1128" s="61"/>
      <c r="Z1128" s="61"/>
    </row>
    <row r="1129" spans="1:26" ht="13">
      <c r="A1129" s="61"/>
      <c r="B1129" s="61"/>
      <c r="C1129" s="61"/>
      <c r="D1129" s="61"/>
      <c r="E1129" s="61"/>
      <c r="F1129" s="61"/>
      <c r="G1129" s="179"/>
      <c r="H1129" s="61"/>
      <c r="I1129" s="61"/>
      <c r="J1129" s="61"/>
      <c r="K1129" s="61"/>
      <c r="L1129" s="61"/>
      <c r="M1129" s="61"/>
      <c r="N1129" s="61"/>
      <c r="O1129" s="61"/>
      <c r="P1129" s="61"/>
      <c r="Q1129" s="61"/>
      <c r="R1129" s="61"/>
      <c r="S1129" s="61"/>
      <c r="T1129" s="61"/>
      <c r="U1129" s="61"/>
      <c r="V1129" s="61"/>
      <c r="W1129" s="61"/>
      <c r="X1129" s="61"/>
      <c r="Y1129" s="61"/>
      <c r="Z1129" s="61"/>
    </row>
    <row r="1130" spans="1:26" ht="13">
      <c r="A1130" s="61"/>
      <c r="B1130" s="61"/>
      <c r="C1130" s="61"/>
      <c r="D1130" s="61"/>
      <c r="E1130" s="61"/>
      <c r="F1130" s="61"/>
      <c r="G1130" s="179"/>
      <c r="H1130" s="61"/>
      <c r="I1130" s="61"/>
      <c r="J1130" s="61"/>
      <c r="K1130" s="61"/>
      <c r="L1130" s="61"/>
      <c r="M1130" s="61"/>
      <c r="N1130" s="61"/>
      <c r="O1130" s="61"/>
      <c r="P1130" s="61"/>
      <c r="Q1130" s="61"/>
      <c r="R1130" s="61"/>
      <c r="S1130" s="61"/>
      <c r="T1130" s="61"/>
      <c r="U1130" s="61"/>
      <c r="V1130" s="61"/>
      <c r="W1130" s="61"/>
      <c r="X1130" s="61"/>
      <c r="Y1130" s="61"/>
      <c r="Z1130" s="61"/>
    </row>
    <row r="1131" spans="1:26" ht="13">
      <c r="A1131" s="61"/>
      <c r="B1131" s="61"/>
      <c r="C1131" s="61"/>
      <c r="D1131" s="61"/>
      <c r="E1131" s="61"/>
      <c r="F1131" s="61"/>
      <c r="G1131" s="179"/>
      <c r="H1131" s="61"/>
      <c r="I1131" s="61"/>
      <c r="J1131" s="61"/>
      <c r="K1131" s="61"/>
      <c r="L1131" s="61"/>
      <c r="M1131" s="61"/>
      <c r="N1131" s="61"/>
      <c r="O1131" s="61"/>
      <c r="P1131" s="61"/>
      <c r="Q1131" s="61"/>
      <c r="R1131" s="61"/>
      <c r="S1131" s="61"/>
      <c r="T1131" s="61"/>
      <c r="U1131" s="61"/>
      <c r="V1131" s="61"/>
      <c r="W1131" s="61"/>
      <c r="X1131" s="61"/>
      <c r="Y1131" s="61"/>
      <c r="Z1131" s="61"/>
    </row>
    <row r="1132" spans="1:26" ht="13">
      <c r="A1132" s="61"/>
      <c r="B1132" s="61"/>
      <c r="C1132" s="61"/>
      <c r="D1132" s="61"/>
      <c r="E1132" s="61"/>
      <c r="F1132" s="61"/>
      <c r="G1132" s="179"/>
      <c r="H1132" s="61"/>
      <c r="I1132" s="61"/>
      <c r="J1132" s="61"/>
      <c r="K1132" s="61"/>
      <c r="L1132" s="61"/>
      <c r="M1132" s="61"/>
      <c r="N1132" s="61"/>
      <c r="O1132" s="61"/>
      <c r="P1132" s="61"/>
      <c r="Q1132" s="61"/>
      <c r="R1132" s="61"/>
      <c r="S1132" s="61"/>
      <c r="T1132" s="61"/>
      <c r="U1132" s="61"/>
      <c r="V1132" s="61"/>
      <c r="W1132" s="61"/>
      <c r="X1132" s="61"/>
      <c r="Y1132" s="61"/>
      <c r="Z1132" s="61"/>
    </row>
    <row r="1133" spans="1:26" ht="13">
      <c r="A1133" s="61"/>
      <c r="B1133" s="61"/>
      <c r="C1133" s="61"/>
      <c r="D1133" s="61"/>
      <c r="E1133" s="61"/>
      <c r="F1133" s="61"/>
      <c r="G1133" s="179"/>
      <c r="H1133" s="61"/>
      <c r="I1133" s="61"/>
      <c r="J1133" s="61"/>
      <c r="K1133" s="61"/>
      <c r="L1133" s="61"/>
      <c r="M1133" s="61"/>
      <c r="N1133" s="61"/>
      <c r="O1133" s="61"/>
      <c r="P1133" s="61"/>
      <c r="Q1133" s="61"/>
      <c r="R1133" s="61"/>
      <c r="S1133" s="61"/>
      <c r="T1133" s="61"/>
      <c r="U1133" s="61"/>
      <c r="V1133" s="61"/>
      <c r="W1133" s="61"/>
      <c r="X1133" s="61"/>
      <c r="Y1133" s="61"/>
      <c r="Z1133" s="61"/>
    </row>
    <row r="1134" spans="1:26" ht="13">
      <c r="A1134" s="61"/>
      <c r="B1134" s="61"/>
      <c r="C1134" s="61"/>
      <c r="D1134" s="61"/>
      <c r="E1134" s="61"/>
      <c r="F1134" s="61"/>
      <c r="G1134" s="179"/>
      <c r="H1134" s="61"/>
      <c r="I1134" s="61"/>
      <c r="J1134" s="61"/>
      <c r="K1134" s="61"/>
      <c r="L1134" s="61"/>
      <c r="M1134" s="61"/>
      <c r="N1134" s="61"/>
      <c r="O1134" s="61"/>
      <c r="P1134" s="61"/>
      <c r="Q1134" s="61"/>
      <c r="R1134" s="61"/>
      <c r="S1134" s="61"/>
      <c r="T1134" s="61"/>
      <c r="U1134" s="61"/>
      <c r="V1134" s="61"/>
      <c r="W1134" s="61"/>
      <c r="X1134" s="61"/>
      <c r="Y1134" s="61"/>
      <c r="Z1134" s="61"/>
    </row>
    <row r="1135" spans="1:26" ht="13">
      <c r="A1135" s="61"/>
      <c r="B1135" s="61"/>
      <c r="C1135" s="61"/>
      <c r="D1135" s="61"/>
      <c r="E1135" s="61"/>
      <c r="F1135" s="61"/>
      <c r="G1135" s="179"/>
      <c r="H1135" s="61"/>
      <c r="I1135" s="61"/>
      <c r="J1135" s="61"/>
      <c r="K1135" s="61"/>
      <c r="L1135" s="61"/>
      <c r="M1135" s="61"/>
      <c r="N1135" s="61"/>
      <c r="O1135" s="61"/>
      <c r="P1135" s="61"/>
      <c r="Q1135" s="61"/>
      <c r="R1135" s="61"/>
      <c r="S1135" s="61"/>
      <c r="T1135" s="61"/>
      <c r="U1135" s="61"/>
      <c r="V1135" s="61"/>
      <c r="W1135" s="61"/>
      <c r="X1135" s="61"/>
      <c r="Y1135" s="61"/>
      <c r="Z1135" s="61"/>
    </row>
    <row r="1136" spans="1:26" ht="13">
      <c r="A1136" s="61"/>
      <c r="B1136" s="61"/>
      <c r="C1136" s="61"/>
      <c r="D1136" s="61"/>
      <c r="E1136" s="61"/>
      <c r="F1136" s="61"/>
      <c r="G1136" s="179"/>
      <c r="H1136" s="61"/>
      <c r="I1136" s="61"/>
      <c r="J1136" s="61"/>
      <c r="K1136" s="61"/>
      <c r="L1136" s="61"/>
      <c r="M1136" s="61"/>
      <c r="N1136" s="61"/>
      <c r="O1136" s="61"/>
      <c r="P1136" s="61"/>
      <c r="Q1136" s="61"/>
      <c r="R1136" s="61"/>
      <c r="S1136" s="61"/>
      <c r="T1136" s="61"/>
      <c r="U1136" s="61"/>
      <c r="V1136" s="61"/>
      <c r="W1136" s="61"/>
      <c r="X1136" s="61"/>
      <c r="Y1136" s="61"/>
      <c r="Z1136" s="61"/>
    </row>
    <row r="1137" spans="1:26" ht="13">
      <c r="A1137" s="61"/>
      <c r="B1137" s="61"/>
      <c r="C1137" s="61"/>
      <c r="D1137" s="61"/>
      <c r="E1137" s="61"/>
      <c r="F1137" s="61"/>
      <c r="G1137" s="179"/>
      <c r="H1137" s="61"/>
      <c r="I1137" s="61"/>
      <c r="J1137" s="61"/>
      <c r="K1137" s="61"/>
      <c r="L1137" s="61"/>
      <c r="M1137" s="61"/>
      <c r="N1137" s="61"/>
      <c r="O1137" s="61"/>
      <c r="P1137" s="61"/>
      <c r="Q1137" s="61"/>
      <c r="R1137" s="61"/>
      <c r="S1137" s="61"/>
      <c r="T1137" s="61"/>
      <c r="U1137" s="61"/>
      <c r="V1137" s="61"/>
      <c r="W1137" s="61"/>
      <c r="X1137" s="61"/>
      <c r="Y1137" s="61"/>
      <c r="Z1137" s="61"/>
    </row>
    <row r="1138" spans="1:26" ht="13">
      <c r="A1138" s="61"/>
      <c r="B1138" s="61"/>
      <c r="C1138" s="61"/>
      <c r="D1138" s="61"/>
      <c r="E1138" s="61"/>
      <c r="F1138" s="61"/>
      <c r="G1138" s="179"/>
      <c r="H1138" s="61"/>
      <c r="I1138" s="61"/>
      <c r="J1138" s="61"/>
      <c r="K1138" s="61"/>
      <c r="L1138" s="61"/>
      <c r="M1138" s="61"/>
      <c r="N1138" s="61"/>
      <c r="O1138" s="61"/>
      <c r="P1138" s="61"/>
      <c r="Q1138" s="61"/>
      <c r="R1138" s="61"/>
      <c r="S1138" s="61"/>
      <c r="T1138" s="61"/>
      <c r="U1138" s="61"/>
      <c r="V1138" s="61"/>
      <c r="W1138" s="61"/>
      <c r="X1138" s="61"/>
      <c r="Y1138" s="61"/>
      <c r="Z1138" s="61"/>
    </row>
    <row r="1139" spans="1:26" ht="13">
      <c r="A1139" s="61"/>
      <c r="B1139" s="61"/>
      <c r="C1139" s="61"/>
      <c r="D1139" s="61"/>
      <c r="E1139" s="61"/>
      <c r="F1139" s="61"/>
      <c r="G1139" s="179"/>
      <c r="H1139" s="61"/>
      <c r="I1139" s="61"/>
      <c r="J1139" s="61"/>
      <c r="K1139" s="61"/>
      <c r="L1139" s="61"/>
      <c r="M1139" s="61"/>
      <c r="N1139" s="61"/>
      <c r="O1139" s="61"/>
      <c r="P1139" s="61"/>
      <c r="Q1139" s="61"/>
      <c r="R1139" s="61"/>
      <c r="S1139" s="61"/>
      <c r="T1139" s="61"/>
      <c r="U1139" s="61"/>
      <c r="V1139" s="61"/>
      <c r="W1139" s="61"/>
      <c r="X1139" s="61"/>
      <c r="Y1139" s="61"/>
      <c r="Z1139" s="61"/>
    </row>
    <row r="1140" spans="1:26" ht="13">
      <c r="A1140" s="61"/>
      <c r="B1140" s="61"/>
      <c r="C1140" s="61"/>
      <c r="D1140" s="61"/>
      <c r="E1140" s="61"/>
      <c r="F1140" s="61"/>
      <c r="G1140" s="179"/>
      <c r="H1140" s="61"/>
      <c r="I1140" s="61"/>
      <c r="J1140" s="61"/>
      <c r="K1140" s="61"/>
      <c r="L1140" s="61"/>
      <c r="M1140" s="61"/>
      <c r="N1140" s="61"/>
      <c r="O1140" s="61"/>
      <c r="P1140" s="61"/>
      <c r="Q1140" s="61"/>
      <c r="R1140" s="61"/>
      <c r="S1140" s="61"/>
      <c r="T1140" s="61"/>
      <c r="U1140" s="61"/>
      <c r="V1140" s="61"/>
      <c r="W1140" s="61"/>
      <c r="X1140" s="61"/>
      <c r="Y1140" s="61"/>
      <c r="Z1140" s="61"/>
    </row>
    <row r="1141" spans="1:26" ht="13">
      <c r="A1141" s="61"/>
      <c r="B1141" s="61"/>
      <c r="C1141" s="61"/>
      <c r="D1141" s="61"/>
      <c r="E1141" s="61"/>
      <c r="F1141" s="61"/>
      <c r="G1141" s="179"/>
      <c r="H1141" s="61"/>
      <c r="I1141" s="61"/>
      <c r="J1141" s="61"/>
      <c r="K1141" s="61"/>
      <c r="L1141" s="61"/>
      <c r="M1141" s="61"/>
      <c r="N1141" s="61"/>
      <c r="O1141" s="61"/>
      <c r="P1141" s="61"/>
      <c r="Q1141" s="61"/>
      <c r="R1141" s="61"/>
      <c r="S1141" s="61"/>
      <c r="T1141" s="61"/>
      <c r="U1141" s="61"/>
      <c r="V1141" s="61"/>
      <c r="W1141" s="61"/>
      <c r="X1141" s="61"/>
      <c r="Y1141" s="61"/>
      <c r="Z1141" s="61"/>
    </row>
    <row r="1142" spans="1:26" ht="13">
      <c r="A1142" s="61"/>
      <c r="B1142" s="61"/>
      <c r="C1142" s="61"/>
      <c r="D1142" s="61"/>
      <c r="E1142" s="61"/>
      <c r="F1142" s="61"/>
      <c r="G1142" s="179"/>
      <c r="H1142" s="61"/>
      <c r="I1142" s="61"/>
      <c r="J1142" s="61"/>
      <c r="K1142" s="61"/>
      <c r="L1142" s="61"/>
      <c r="M1142" s="61"/>
      <c r="N1142" s="61"/>
      <c r="O1142" s="61"/>
      <c r="P1142" s="61"/>
      <c r="Q1142" s="61"/>
      <c r="R1142" s="61"/>
      <c r="S1142" s="61"/>
      <c r="T1142" s="61"/>
      <c r="U1142" s="61"/>
      <c r="V1142" s="61"/>
      <c r="W1142" s="61"/>
      <c r="X1142" s="61"/>
      <c r="Y1142" s="61"/>
      <c r="Z1142" s="61"/>
    </row>
    <row r="1143" spans="1:26" ht="13">
      <c r="A1143" s="61"/>
      <c r="B1143" s="61"/>
      <c r="C1143" s="61"/>
      <c r="D1143" s="61"/>
      <c r="E1143" s="61"/>
      <c r="F1143" s="61"/>
      <c r="G1143" s="179"/>
      <c r="H1143" s="61"/>
      <c r="I1143" s="61"/>
      <c r="J1143" s="61"/>
      <c r="K1143" s="61"/>
      <c r="L1143" s="61"/>
      <c r="M1143" s="61"/>
      <c r="N1143" s="61"/>
      <c r="O1143" s="61"/>
      <c r="P1143" s="61"/>
      <c r="Q1143" s="61"/>
      <c r="R1143" s="61"/>
      <c r="S1143" s="61"/>
      <c r="T1143" s="61"/>
      <c r="U1143" s="61"/>
      <c r="V1143" s="61"/>
      <c r="W1143" s="61"/>
      <c r="X1143" s="61"/>
      <c r="Y1143" s="61"/>
      <c r="Z1143" s="61"/>
    </row>
    <row r="1144" spans="1:26" ht="13">
      <c r="A1144" s="61"/>
      <c r="B1144" s="61"/>
      <c r="C1144" s="61"/>
      <c r="D1144" s="61"/>
      <c r="E1144" s="61"/>
      <c r="F1144" s="61"/>
      <c r="G1144" s="179"/>
      <c r="H1144" s="61"/>
      <c r="I1144" s="61"/>
      <c r="J1144" s="61"/>
      <c r="K1144" s="61"/>
      <c r="L1144" s="61"/>
      <c r="M1144" s="61"/>
      <c r="N1144" s="61"/>
      <c r="O1144" s="61"/>
      <c r="P1144" s="61"/>
      <c r="Q1144" s="61"/>
      <c r="R1144" s="61"/>
      <c r="S1144" s="61"/>
      <c r="T1144" s="61"/>
      <c r="U1144" s="61"/>
      <c r="V1144" s="61"/>
      <c r="W1144" s="61"/>
      <c r="X1144" s="61"/>
      <c r="Y1144" s="61"/>
      <c r="Z1144" s="61"/>
    </row>
    <row r="1145" spans="1:26" ht="13">
      <c r="A1145" s="61"/>
      <c r="B1145" s="61"/>
      <c r="C1145" s="61"/>
      <c r="D1145" s="61"/>
      <c r="E1145" s="61"/>
      <c r="F1145" s="61"/>
      <c r="G1145" s="179"/>
      <c r="H1145" s="61"/>
      <c r="I1145" s="61"/>
      <c r="J1145" s="61"/>
      <c r="K1145" s="61"/>
      <c r="L1145" s="61"/>
      <c r="M1145" s="61"/>
      <c r="N1145" s="61"/>
      <c r="O1145" s="61"/>
      <c r="P1145" s="61"/>
      <c r="Q1145" s="61"/>
      <c r="R1145" s="61"/>
      <c r="S1145" s="61"/>
      <c r="T1145" s="61"/>
      <c r="U1145" s="61"/>
      <c r="V1145" s="61"/>
      <c r="W1145" s="61"/>
      <c r="X1145" s="61"/>
      <c r="Y1145" s="61"/>
      <c r="Z1145" s="61"/>
    </row>
    <row r="1146" spans="1:26" ht="13">
      <c r="A1146" s="61"/>
      <c r="B1146" s="61"/>
      <c r="C1146" s="61"/>
      <c r="D1146" s="61"/>
      <c r="E1146" s="61"/>
      <c r="F1146" s="61"/>
      <c r="G1146" s="179"/>
      <c r="H1146" s="61"/>
      <c r="I1146" s="61"/>
      <c r="J1146" s="61"/>
      <c r="K1146" s="61"/>
      <c r="L1146" s="61"/>
      <c r="M1146" s="61"/>
      <c r="N1146" s="61"/>
      <c r="O1146" s="61"/>
      <c r="P1146" s="61"/>
      <c r="Q1146" s="61"/>
      <c r="R1146" s="61"/>
      <c r="S1146" s="61"/>
      <c r="T1146" s="61"/>
      <c r="U1146" s="61"/>
      <c r="V1146" s="61"/>
      <c r="W1146" s="61"/>
      <c r="X1146" s="61"/>
      <c r="Y1146" s="61"/>
      <c r="Z1146" s="61"/>
    </row>
    <row r="1147" spans="1:26" ht="13">
      <c r="A1147" s="61"/>
      <c r="B1147" s="61"/>
      <c r="C1147" s="61"/>
      <c r="D1147" s="61"/>
      <c r="E1147" s="61"/>
      <c r="F1147" s="61"/>
      <c r="G1147" s="179"/>
      <c r="H1147" s="61"/>
      <c r="I1147" s="61"/>
      <c r="J1147" s="61"/>
      <c r="K1147" s="61"/>
      <c r="L1147" s="61"/>
      <c r="M1147" s="61"/>
      <c r="N1147" s="61"/>
      <c r="O1147" s="61"/>
      <c r="P1147" s="61"/>
      <c r="Q1147" s="61"/>
      <c r="R1147" s="61"/>
      <c r="S1147" s="61"/>
      <c r="T1147" s="61"/>
      <c r="U1147" s="61"/>
      <c r="V1147" s="61"/>
      <c r="W1147" s="61"/>
      <c r="X1147" s="61"/>
      <c r="Y1147" s="61"/>
      <c r="Z1147" s="61"/>
    </row>
    <row r="1148" spans="1:26" ht="13">
      <c r="A1148" s="61"/>
      <c r="B1148" s="61"/>
      <c r="C1148" s="61"/>
      <c r="D1148" s="61"/>
      <c r="E1148" s="61"/>
      <c r="F1148" s="61"/>
      <c r="G1148" s="179"/>
      <c r="H1148" s="61"/>
      <c r="I1148" s="61"/>
      <c r="J1148" s="61"/>
      <c r="K1148" s="61"/>
      <c r="L1148" s="61"/>
      <c r="M1148" s="61"/>
      <c r="N1148" s="61"/>
      <c r="O1148" s="61"/>
      <c r="P1148" s="61"/>
      <c r="Q1148" s="61"/>
      <c r="R1148" s="61"/>
      <c r="S1148" s="61"/>
      <c r="T1148" s="61"/>
      <c r="U1148" s="61"/>
      <c r="V1148" s="61"/>
      <c r="W1148" s="61"/>
      <c r="X1148" s="61"/>
      <c r="Y1148" s="61"/>
      <c r="Z1148" s="61"/>
    </row>
    <row r="1149" spans="1:26" ht="13">
      <c r="A1149" s="61"/>
      <c r="B1149" s="61"/>
      <c r="C1149" s="61"/>
      <c r="D1149" s="61"/>
      <c r="E1149" s="61"/>
      <c r="F1149" s="61"/>
      <c r="G1149" s="179"/>
      <c r="H1149" s="61"/>
      <c r="I1149" s="61"/>
      <c r="J1149" s="61"/>
      <c r="K1149" s="61"/>
      <c r="L1149" s="61"/>
      <c r="M1149" s="61"/>
      <c r="N1149" s="61"/>
      <c r="O1149" s="61"/>
      <c r="P1149" s="61"/>
      <c r="Q1149" s="61"/>
      <c r="R1149" s="61"/>
      <c r="S1149" s="61"/>
      <c r="T1149" s="61"/>
      <c r="U1149" s="61"/>
      <c r="V1149" s="61"/>
      <c r="W1149" s="61"/>
      <c r="X1149" s="61"/>
      <c r="Y1149" s="61"/>
      <c r="Z1149" s="61"/>
    </row>
    <row r="1150" spans="1:26" ht="13">
      <c r="A1150" s="61"/>
      <c r="B1150" s="61"/>
      <c r="C1150" s="61"/>
      <c r="D1150" s="61"/>
      <c r="E1150" s="61"/>
      <c r="F1150" s="61"/>
      <c r="G1150" s="179"/>
      <c r="H1150" s="61"/>
      <c r="I1150" s="61"/>
      <c r="J1150" s="61"/>
      <c r="K1150" s="61"/>
      <c r="L1150" s="61"/>
      <c r="M1150" s="61"/>
      <c r="N1150" s="61"/>
      <c r="O1150" s="61"/>
      <c r="P1150" s="61"/>
      <c r="Q1150" s="61"/>
      <c r="R1150" s="61"/>
      <c r="S1150" s="61"/>
      <c r="T1150" s="61"/>
      <c r="U1150" s="61"/>
      <c r="V1150" s="61"/>
      <c r="W1150" s="61"/>
      <c r="X1150" s="61"/>
      <c r="Y1150" s="61"/>
      <c r="Z1150" s="61"/>
    </row>
    <row r="1151" spans="1:26" ht="13">
      <c r="A1151" s="61"/>
      <c r="B1151" s="61"/>
      <c r="C1151" s="61"/>
      <c r="D1151" s="61"/>
      <c r="E1151" s="61"/>
      <c r="F1151" s="61"/>
      <c r="G1151" s="179"/>
      <c r="H1151" s="61"/>
      <c r="I1151" s="61"/>
      <c r="J1151" s="61"/>
      <c r="K1151" s="61"/>
      <c r="L1151" s="61"/>
      <c r="M1151" s="61"/>
      <c r="N1151" s="61"/>
      <c r="O1151" s="61"/>
      <c r="P1151" s="61"/>
      <c r="Q1151" s="61"/>
      <c r="R1151" s="61"/>
      <c r="S1151" s="61"/>
      <c r="T1151" s="61"/>
      <c r="U1151" s="61"/>
      <c r="V1151" s="61"/>
      <c r="W1151" s="61"/>
      <c r="X1151" s="61"/>
      <c r="Y1151" s="61"/>
      <c r="Z1151" s="61"/>
    </row>
    <row r="1152" spans="1:26" ht="13">
      <c r="A1152" s="61"/>
      <c r="B1152" s="61"/>
      <c r="C1152" s="61"/>
      <c r="D1152" s="61"/>
      <c r="E1152" s="61"/>
      <c r="F1152" s="61"/>
      <c r="G1152" s="179"/>
      <c r="H1152" s="61"/>
      <c r="I1152" s="61"/>
      <c r="J1152" s="61"/>
      <c r="K1152" s="61"/>
      <c r="L1152" s="61"/>
      <c r="M1152" s="61"/>
      <c r="N1152" s="61"/>
      <c r="O1152" s="61"/>
      <c r="P1152" s="61"/>
      <c r="Q1152" s="61"/>
      <c r="R1152" s="61"/>
      <c r="S1152" s="61"/>
      <c r="T1152" s="61"/>
      <c r="U1152" s="61"/>
      <c r="V1152" s="61"/>
      <c r="W1152" s="61"/>
      <c r="X1152" s="61"/>
      <c r="Y1152" s="61"/>
      <c r="Z1152" s="61"/>
    </row>
    <row r="1153" spans="1:26" ht="13">
      <c r="A1153" s="61"/>
      <c r="B1153" s="61"/>
      <c r="C1153" s="61"/>
      <c r="D1153" s="61"/>
      <c r="E1153" s="61"/>
      <c r="F1153" s="61"/>
      <c r="G1153" s="179"/>
      <c r="H1153" s="61"/>
      <c r="I1153" s="61"/>
      <c r="J1153" s="61"/>
      <c r="K1153" s="61"/>
      <c r="L1153" s="61"/>
      <c r="M1153" s="61"/>
      <c r="N1153" s="61"/>
      <c r="O1153" s="61"/>
      <c r="P1153" s="61"/>
      <c r="Q1153" s="61"/>
      <c r="R1153" s="61"/>
      <c r="S1153" s="61"/>
      <c r="T1153" s="61"/>
      <c r="U1153" s="61"/>
      <c r="V1153" s="61"/>
      <c r="W1153" s="61"/>
      <c r="X1153" s="61"/>
      <c r="Y1153" s="61"/>
      <c r="Z1153" s="61"/>
    </row>
    <row r="1154" spans="1:26" ht="13">
      <c r="A1154" s="61"/>
      <c r="B1154" s="61"/>
      <c r="C1154" s="61"/>
      <c r="D1154" s="61"/>
      <c r="E1154" s="61"/>
      <c r="F1154" s="61"/>
      <c r="G1154" s="179"/>
      <c r="H1154" s="61"/>
      <c r="I1154" s="61"/>
      <c r="J1154" s="61"/>
      <c r="K1154" s="61"/>
      <c r="L1154" s="61"/>
      <c r="M1154" s="61"/>
      <c r="N1154" s="61"/>
      <c r="O1154" s="61"/>
      <c r="P1154" s="61"/>
      <c r="Q1154" s="61"/>
      <c r="R1154" s="61"/>
      <c r="S1154" s="61"/>
      <c r="T1154" s="61"/>
      <c r="U1154" s="61"/>
      <c r="V1154" s="61"/>
      <c r="W1154" s="61"/>
      <c r="X1154" s="61"/>
      <c r="Y1154" s="61"/>
      <c r="Z1154" s="61"/>
    </row>
    <row r="1155" spans="1:26" ht="13">
      <c r="A1155" s="61"/>
      <c r="B1155" s="61"/>
      <c r="C1155" s="61"/>
      <c r="D1155" s="61"/>
      <c r="E1155" s="61"/>
      <c r="F1155" s="61"/>
      <c r="G1155" s="179"/>
      <c r="H1155" s="61"/>
      <c r="I1155" s="61"/>
      <c r="J1155" s="61"/>
      <c r="K1155" s="61"/>
      <c r="L1155" s="61"/>
      <c r="M1155" s="61"/>
      <c r="N1155" s="61"/>
      <c r="O1155" s="61"/>
      <c r="P1155" s="61"/>
      <c r="Q1155" s="61"/>
      <c r="R1155" s="61"/>
      <c r="S1155" s="61"/>
      <c r="T1155" s="61"/>
      <c r="U1155" s="61"/>
      <c r="V1155" s="61"/>
      <c r="W1155" s="61"/>
      <c r="X1155" s="61"/>
      <c r="Y1155" s="61"/>
      <c r="Z1155" s="61"/>
    </row>
    <row r="1156" spans="1:26" ht="13">
      <c r="A1156" s="61"/>
      <c r="B1156" s="61"/>
      <c r="C1156" s="61"/>
      <c r="D1156" s="61"/>
      <c r="E1156" s="61"/>
      <c r="F1156" s="61"/>
      <c r="G1156" s="179"/>
      <c r="H1156" s="61"/>
      <c r="I1156" s="61"/>
      <c r="J1156" s="61"/>
      <c r="K1156" s="61"/>
      <c r="L1156" s="61"/>
      <c r="M1156" s="61"/>
      <c r="N1156" s="61"/>
      <c r="O1156" s="61"/>
      <c r="P1156" s="61"/>
      <c r="Q1156" s="61"/>
      <c r="R1156" s="61"/>
      <c r="S1156" s="61"/>
      <c r="T1156" s="61"/>
      <c r="U1156" s="61"/>
      <c r="V1156" s="61"/>
      <c r="W1156" s="61"/>
      <c r="X1156" s="61"/>
      <c r="Y1156" s="61"/>
      <c r="Z1156" s="61"/>
    </row>
    <row r="1157" spans="1:26" ht="13">
      <c r="A1157" s="61"/>
      <c r="B1157" s="61"/>
      <c r="C1157" s="61"/>
      <c r="D1157" s="61"/>
      <c r="E1157" s="61"/>
      <c r="F1157" s="61"/>
      <c r="G1157" s="179"/>
      <c r="H1157" s="61"/>
      <c r="I1157" s="61"/>
      <c r="J1157" s="61"/>
      <c r="K1157" s="61"/>
      <c r="L1157" s="61"/>
      <c r="M1157" s="61"/>
      <c r="N1157" s="61"/>
      <c r="O1157" s="61"/>
      <c r="P1157" s="61"/>
      <c r="Q1157" s="61"/>
      <c r="R1157" s="61"/>
      <c r="S1157" s="61"/>
      <c r="T1157" s="61"/>
      <c r="U1157" s="61"/>
      <c r="V1157" s="61"/>
      <c r="W1157" s="61"/>
      <c r="X1157" s="61"/>
      <c r="Y1157" s="61"/>
      <c r="Z1157" s="61"/>
    </row>
    <row r="1158" spans="1:26" ht="13">
      <c r="A1158" s="61"/>
      <c r="B1158" s="61"/>
      <c r="C1158" s="61"/>
      <c r="D1158" s="61"/>
      <c r="E1158" s="61"/>
      <c r="F1158" s="61"/>
      <c r="G1158" s="179"/>
      <c r="H1158" s="61"/>
      <c r="I1158" s="61"/>
      <c r="J1158" s="61"/>
      <c r="K1158" s="61"/>
      <c r="L1158" s="61"/>
      <c r="M1158" s="61"/>
      <c r="N1158" s="61"/>
      <c r="O1158" s="61"/>
      <c r="P1158" s="61"/>
      <c r="Q1158" s="61"/>
      <c r="R1158" s="61"/>
      <c r="S1158" s="61"/>
      <c r="T1158" s="61"/>
      <c r="U1158" s="61"/>
      <c r="V1158" s="61"/>
      <c r="W1158" s="61"/>
      <c r="X1158" s="61"/>
      <c r="Y1158" s="61"/>
      <c r="Z1158" s="61"/>
    </row>
    <row r="1159" spans="1:26" ht="13">
      <c r="A1159" s="61"/>
      <c r="B1159" s="61"/>
      <c r="C1159" s="61"/>
      <c r="D1159" s="61"/>
      <c r="E1159" s="61"/>
      <c r="F1159" s="61"/>
      <c r="G1159" s="179"/>
      <c r="H1159" s="61"/>
      <c r="I1159" s="61"/>
      <c r="J1159" s="61"/>
      <c r="K1159" s="61"/>
      <c r="L1159" s="61"/>
      <c r="M1159" s="61"/>
      <c r="N1159" s="61"/>
      <c r="O1159" s="61"/>
      <c r="P1159" s="61"/>
      <c r="Q1159" s="61"/>
      <c r="R1159" s="61"/>
      <c r="S1159" s="61"/>
      <c r="T1159" s="61"/>
      <c r="U1159" s="61"/>
      <c r="V1159" s="61"/>
      <c r="W1159" s="61"/>
      <c r="X1159" s="61"/>
      <c r="Y1159" s="61"/>
      <c r="Z1159" s="61"/>
    </row>
    <row r="1160" spans="1:26" ht="13">
      <c r="A1160" s="61"/>
      <c r="B1160" s="61"/>
      <c r="C1160" s="61"/>
      <c r="D1160" s="61"/>
      <c r="E1160" s="61"/>
      <c r="F1160" s="61"/>
      <c r="G1160" s="179"/>
      <c r="H1160" s="61"/>
      <c r="I1160" s="61"/>
      <c r="J1160" s="61"/>
      <c r="K1160" s="61"/>
      <c r="L1160" s="61"/>
      <c r="M1160" s="61"/>
      <c r="N1160" s="61"/>
      <c r="O1160" s="61"/>
      <c r="P1160" s="61"/>
      <c r="Q1160" s="61"/>
      <c r="R1160" s="61"/>
      <c r="S1160" s="61"/>
      <c r="T1160" s="61"/>
      <c r="U1160" s="61"/>
      <c r="V1160" s="61"/>
      <c r="W1160" s="61"/>
      <c r="X1160" s="61"/>
      <c r="Y1160" s="61"/>
      <c r="Z1160" s="61"/>
    </row>
    <row r="1161" spans="1:26" ht="13">
      <c r="A1161" s="61"/>
      <c r="B1161" s="61"/>
      <c r="C1161" s="61"/>
      <c r="D1161" s="61"/>
      <c r="E1161" s="61"/>
      <c r="F1161" s="61"/>
      <c r="G1161" s="179"/>
      <c r="H1161" s="61"/>
      <c r="I1161" s="61"/>
      <c r="J1161" s="61"/>
      <c r="K1161" s="61"/>
      <c r="L1161" s="61"/>
      <c r="M1161" s="61"/>
      <c r="N1161" s="61"/>
      <c r="O1161" s="61"/>
      <c r="P1161" s="61"/>
      <c r="Q1161" s="61"/>
      <c r="R1161" s="61"/>
      <c r="S1161" s="61"/>
      <c r="T1161" s="61"/>
      <c r="U1161" s="61"/>
      <c r="V1161" s="61"/>
      <c r="W1161" s="61"/>
      <c r="X1161" s="61"/>
      <c r="Y1161" s="61"/>
      <c r="Z1161" s="61"/>
    </row>
    <row r="1162" spans="1:26" ht="13">
      <c r="A1162" s="61"/>
      <c r="B1162" s="61"/>
      <c r="C1162" s="61"/>
      <c r="D1162" s="61"/>
      <c r="E1162" s="61"/>
      <c r="F1162" s="61"/>
      <c r="G1162" s="179"/>
      <c r="H1162" s="61"/>
      <c r="I1162" s="61"/>
      <c r="J1162" s="61"/>
      <c r="K1162" s="61"/>
      <c r="L1162" s="61"/>
      <c r="M1162" s="61"/>
      <c r="N1162" s="61"/>
      <c r="O1162" s="61"/>
      <c r="P1162" s="61"/>
      <c r="Q1162" s="61"/>
      <c r="R1162" s="61"/>
      <c r="S1162" s="61"/>
      <c r="T1162" s="61"/>
      <c r="U1162" s="61"/>
      <c r="V1162" s="61"/>
      <c r="W1162" s="61"/>
      <c r="X1162" s="61"/>
      <c r="Y1162" s="61"/>
      <c r="Z1162" s="61"/>
    </row>
    <row r="1163" spans="1:26" ht="13">
      <c r="A1163" s="61"/>
      <c r="B1163" s="61"/>
      <c r="C1163" s="61"/>
      <c r="D1163" s="61"/>
      <c r="E1163" s="61"/>
      <c r="F1163" s="61"/>
      <c r="G1163" s="179"/>
      <c r="H1163" s="61"/>
      <c r="I1163" s="61"/>
      <c r="J1163" s="61"/>
      <c r="K1163" s="61"/>
      <c r="L1163" s="61"/>
      <c r="M1163" s="61"/>
      <c r="N1163" s="61"/>
      <c r="O1163" s="61"/>
      <c r="P1163" s="61"/>
      <c r="Q1163" s="61"/>
      <c r="R1163" s="61"/>
      <c r="S1163" s="61"/>
      <c r="T1163" s="61"/>
      <c r="U1163" s="61"/>
      <c r="V1163" s="61"/>
      <c r="W1163" s="61"/>
      <c r="X1163" s="61"/>
      <c r="Y1163" s="61"/>
      <c r="Z1163" s="61"/>
    </row>
    <row r="1164" spans="1:26" ht="13">
      <c r="A1164" s="61"/>
      <c r="B1164" s="61"/>
      <c r="C1164" s="61"/>
      <c r="D1164" s="61"/>
      <c r="E1164" s="61"/>
      <c r="F1164" s="61"/>
      <c r="G1164" s="179"/>
      <c r="H1164" s="61"/>
      <c r="I1164" s="61"/>
      <c r="J1164" s="61"/>
      <c r="K1164" s="61"/>
      <c r="L1164" s="61"/>
      <c r="M1164" s="61"/>
      <c r="N1164" s="61"/>
      <c r="O1164" s="61"/>
      <c r="P1164" s="61"/>
      <c r="Q1164" s="61"/>
      <c r="R1164" s="61"/>
      <c r="S1164" s="61"/>
      <c r="T1164" s="61"/>
      <c r="U1164" s="61"/>
      <c r="V1164" s="61"/>
      <c r="W1164" s="61"/>
      <c r="X1164" s="61"/>
      <c r="Y1164" s="61"/>
      <c r="Z1164" s="61"/>
    </row>
    <row r="1165" spans="1:26" ht="13">
      <c r="A1165" s="61"/>
      <c r="B1165" s="61"/>
      <c r="C1165" s="61"/>
      <c r="D1165" s="61"/>
      <c r="E1165" s="61"/>
      <c r="F1165" s="61"/>
      <c r="G1165" s="179"/>
      <c r="H1165" s="61"/>
      <c r="I1165" s="61"/>
      <c r="J1165" s="61"/>
      <c r="K1165" s="61"/>
      <c r="L1165" s="61"/>
      <c r="M1165" s="61"/>
      <c r="N1165" s="61"/>
      <c r="O1165" s="61"/>
      <c r="P1165" s="61"/>
      <c r="Q1165" s="61"/>
      <c r="R1165" s="61"/>
      <c r="S1165" s="61"/>
      <c r="T1165" s="61"/>
      <c r="U1165" s="61"/>
      <c r="V1165" s="61"/>
      <c r="W1165" s="61"/>
      <c r="X1165" s="61"/>
      <c r="Y1165" s="61"/>
      <c r="Z1165" s="61"/>
    </row>
    <row r="1166" spans="1:26" ht="13">
      <c r="A1166" s="61"/>
      <c r="B1166" s="61"/>
      <c r="C1166" s="61"/>
      <c r="D1166" s="61"/>
      <c r="E1166" s="61"/>
      <c r="F1166" s="61"/>
      <c r="G1166" s="179"/>
      <c r="H1166" s="61"/>
      <c r="I1166" s="61"/>
      <c r="J1166" s="61"/>
      <c r="K1166" s="61"/>
      <c r="L1166" s="61"/>
      <c r="M1166" s="61"/>
      <c r="N1166" s="61"/>
      <c r="O1166" s="61"/>
      <c r="P1166" s="61"/>
      <c r="Q1166" s="61"/>
      <c r="R1166" s="61"/>
      <c r="S1166" s="61"/>
      <c r="T1166" s="61"/>
      <c r="U1166" s="61"/>
      <c r="V1166" s="61"/>
      <c r="W1166" s="61"/>
      <c r="X1166" s="61"/>
      <c r="Y1166" s="61"/>
      <c r="Z1166" s="61"/>
    </row>
    <row r="1167" spans="1:26" ht="13">
      <c r="A1167" s="61"/>
      <c r="B1167" s="61"/>
      <c r="C1167" s="61"/>
      <c r="D1167" s="61"/>
      <c r="E1167" s="61"/>
      <c r="F1167" s="61"/>
      <c r="G1167" s="179"/>
      <c r="H1167" s="61"/>
      <c r="I1167" s="61"/>
      <c r="J1167" s="61"/>
      <c r="K1167" s="61"/>
      <c r="L1167" s="61"/>
      <c r="M1167" s="61"/>
      <c r="N1167" s="61"/>
      <c r="O1167" s="61"/>
      <c r="P1167" s="61"/>
      <c r="Q1167" s="61"/>
      <c r="R1167" s="61"/>
      <c r="S1167" s="61"/>
      <c r="T1167" s="61"/>
      <c r="U1167" s="61"/>
      <c r="V1167" s="61"/>
      <c r="W1167" s="61"/>
      <c r="X1167" s="61"/>
      <c r="Y1167" s="61"/>
      <c r="Z1167" s="61"/>
    </row>
    <row r="1168" spans="1:26" ht="13">
      <c r="A1168" s="61"/>
      <c r="B1168" s="61"/>
      <c r="C1168" s="61"/>
      <c r="D1168" s="61"/>
      <c r="E1168" s="61"/>
      <c r="F1168" s="61"/>
      <c r="G1168" s="179"/>
      <c r="H1168" s="61"/>
      <c r="I1168" s="61"/>
      <c r="J1168" s="61"/>
      <c r="K1168" s="61"/>
      <c r="L1168" s="61"/>
      <c r="M1168" s="61"/>
      <c r="N1168" s="61"/>
      <c r="O1168" s="61"/>
      <c r="P1168" s="61"/>
      <c r="Q1168" s="61"/>
      <c r="R1168" s="61"/>
      <c r="S1168" s="61"/>
      <c r="T1168" s="61"/>
      <c r="U1168" s="61"/>
      <c r="V1168" s="61"/>
      <c r="W1168" s="61"/>
      <c r="X1168" s="61"/>
      <c r="Y1168" s="61"/>
      <c r="Z1168" s="61"/>
    </row>
    <row r="1169" spans="1:26" ht="13">
      <c r="A1169" s="61"/>
      <c r="B1169" s="61"/>
      <c r="C1169" s="61"/>
      <c r="D1169" s="61"/>
      <c r="E1169" s="61"/>
      <c r="F1169" s="61"/>
      <c r="G1169" s="179"/>
      <c r="H1169" s="61"/>
      <c r="I1169" s="61"/>
      <c r="J1169" s="61"/>
      <c r="K1169" s="61"/>
      <c r="L1169" s="61"/>
      <c r="M1169" s="61"/>
      <c r="N1169" s="61"/>
      <c r="O1169" s="61"/>
      <c r="P1169" s="61"/>
      <c r="Q1169" s="61"/>
      <c r="R1169" s="61"/>
      <c r="S1169" s="61"/>
      <c r="T1169" s="61"/>
      <c r="U1169" s="61"/>
      <c r="V1169" s="61"/>
      <c r="W1169" s="61"/>
      <c r="X1169" s="61"/>
      <c r="Y1169" s="61"/>
      <c r="Z1169" s="61"/>
    </row>
    <row r="1170" spans="1:26" ht="13">
      <c r="A1170" s="61"/>
      <c r="B1170" s="61"/>
      <c r="C1170" s="61"/>
      <c r="D1170" s="61"/>
      <c r="E1170" s="61"/>
      <c r="F1170" s="61"/>
      <c r="G1170" s="179"/>
      <c r="H1170" s="61"/>
      <c r="I1170" s="61"/>
      <c r="J1170" s="61"/>
      <c r="K1170" s="61"/>
      <c r="L1170" s="61"/>
      <c r="M1170" s="61"/>
      <c r="N1170" s="61"/>
      <c r="O1170" s="61"/>
      <c r="P1170" s="61"/>
      <c r="Q1170" s="61"/>
      <c r="R1170" s="61"/>
      <c r="S1170" s="61"/>
      <c r="T1170" s="61"/>
      <c r="U1170" s="61"/>
      <c r="V1170" s="61"/>
      <c r="W1170" s="61"/>
      <c r="X1170" s="61"/>
      <c r="Y1170" s="61"/>
      <c r="Z1170" s="61"/>
    </row>
    <row r="1171" spans="1:26" ht="13">
      <c r="A1171" s="61"/>
      <c r="B1171" s="61"/>
      <c r="C1171" s="61"/>
      <c r="D1171" s="61"/>
      <c r="E1171" s="61"/>
      <c r="F1171" s="61"/>
      <c r="G1171" s="179"/>
      <c r="H1171" s="61"/>
      <c r="I1171" s="61"/>
      <c r="J1171" s="61"/>
      <c r="K1171" s="61"/>
      <c r="L1171" s="61"/>
      <c r="M1171" s="61"/>
      <c r="N1171" s="61"/>
      <c r="O1171" s="61"/>
      <c r="P1171" s="61"/>
      <c r="Q1171" s="61"/>
      <c r="R1171" s="61"/>
      <c r="S1171" s="61"/>
      <c r="T1171" s="61"/>
      <c r="U1171" s="61"/>
      <c r="V1171" s="61"/>
      <c r="W1171" s="61"/>
      <c r="X1171" s="61"/>
      <c r="Y1171" s="61"/>
      <c r="Z1171" s="61"/>
    </row>
    <row r="1172" spans="1:26" ht="13">
      <c r="A1172" s="61"/>
      <c r="B1172" s="61"/>
      <c r="C1172" s="61"/>
      <c r="D1172" s="61"/>
      <c r="E1172" s="61"/>
      <c r="F1172" s="61"/>
      <c r="G1172" s="179"/>
      <c r="H1172" s="61"/>
      <c r="I1172" s="61"/>
      <c r="J1172" s="61"/>
      <c r="K1172" s="61"/>
      <c r="L1172" s="61"/>
      <c r="M1172" s="61"/>
      <c r="N1172" s="61"/>
      <c r="O1172" s="61"/>
      <c r="P1172" s="61"/>
      <c r="Q1172" s="61"/>
      <c r="R1172" s="61"/>
      <c r="S1172" s="61"/>
      <c r="T1172" s="61"/>
      <c r="U1172" s="61"/>
      <c r="V1172" s="61"/>
      <c r="W1172" s="61"/>
      <c r="X1172" s="61"/>
      <c r="Y1172" s="61"/>
      <c r="Z1172" s="61"/>
    </row>
    <row r="1173" spans="1:26" ht="13">
      <c r="A1173" s="61"/>
      <c r="B1173" s="61"/>
      <c r="C1173" s="61"/>
      <c r="D1173" s="61"/>
      <c r="E1173" s="61"/>
      <c r="F1173" s="61"/>
      <c r="G1173" s="179"/>
      <c r="H1173" s="61"/>
      <c r="I1173" s="61"/>
      <c r="J1173" s="61"/>
      <c r="K1173" s="61"/>
      <c r="L1173" s="61"/>
      <c r="M1173" s="61"/>
      <c r="N1173" s="61"/>
      <c r="O1173" s="61"/>
      <c r="P1173" s="61"/>
      <c r="Q1173" s="61"/>
      <c r="R1173" s="61"/>
      <c r="S1173" s="61"/>
      <c r="T1173" s="61"/>
      <c r="U1173" s="61"/>
      <c r="V1173" s="61"/>
      <c r="W1173" s="61"/>
      <c r="X1173" s="61"/>
      <c r="Y1173" s="61"/>
      <c r="Z1173" s="61"/>
    </row>
    <row r="1174" spans="1:26" ht="13">
      <c r="A1174" s="61"/>
      <c r="B1174" s="61"/>
      <c r="C1174" s="61"/>
      <c r="D1174" s="61"/>
      <c r="E1174" s="61"/>
      <c r="F1174" s="61"/>
      <c r="G1174" s="179"/>
      <c r="H1174" s="61"/>
      <c r="I1174" s="61"/>
      <c r="J1174" s="61"/>
      <c r="K1174" s="61"/>
      <c r="L1174" s="61"/>
      <c r="M1174" s="61"/>
      <c r="N1174" s="61"/>
      <c r="O1174" s="61"/>
      <c r="P1174" s="61"/>
      <c r="Q1174" s="61"/>
      <c r="R1174" s="61"/>
      <c r="S1174" s="61"/>
      <c r="T1174" s="61"/>
      <c r="U1174" s="61"/>
      <c r="V1174" s="61"/>
      <c r="W1174" s="61"/>
      <c r="X1174" s="61"/>
      <c r="Y1174" s="61"/>
      <c r="Z1174" s="61"/>
    </row>
    <row r="1175" spans="1:26" ht="13">
      <c r="A1175" s="61"/>
      <c r="B1175" s="61"/>
      <c r="C1175" s="61"/>
      <c r="D1175" s="61"/>
      <c r="E1175" s="61"/>
      <c r="F1175" s="61"/>
      <c r="G1175" s="179"/>
      <c r="H1175" s="61"/>
      <c r="I1175" s="61"/>
      <c r="J1175" s="61"/>
      <c r="K1175" s="61"/>
      <c r="L1175" s="61"/>
      <c r="M1175" s="61"/>
      <c r="N1175" s="61"/>
      <c r="O1175" s="61"/>
      <c r="P1175" s="61"/>
      <c r="Q1175" s="61"/>
      <c r="R1175" s="61"/>
      <c r="S1175" s="61"/>
      <c r="T1175" s="61"/>
      <c r="U1175" s="61"/>
      <c r="V1175" s="61"/>
      <c r="W1175" s="61"/>
      <c r="X1175" s="61"/>
      <c r="Y1175" s="61"/>
      <c r="Z1175" s="61"/>
    </row>
    <row r="1176" spans="1:26" ht="13">
      <c r="A1176" s="61"/>
      <c r="B1176" s="61"/>
      <c r="C1176" s="61"/>
      <c r="D1176" s="61"/>
      <c r="E1176" s="61"/>
      <c r="F1176" s="61"/>
      <c r="G1176" s="179"/>
      <c r="H1176" s="61"/>
      <c r="I1176" s="61"/>
      <c r="J1176" s="61"/>
      <c r="K1176" s="61"/>
      <c r="L1176" s="61"/>
      <c r="M1176" s="61"/>
      <c r="N1176" s="61"/>
      <c r="O1176" s="61"/>
      <c r="P1176" s="61"/>
      <c r="Q1176" s="61"/>
      <c r="R1176" s="61"/>
      <c r="S1176" s="61"/>
      <c r="T1176" s="61"/>
      <c r="U1176" s="61"/>
      <c r="V1176" s="61"/>
      <c r="W1176" s="61"/>
      <c r="X1176" s="61"/>
      <c r="Y1176" s="61"/>
      <c r="Z1176" s="61"/>
    </row>
    <row r="1177" spans="1:26" ht="13">
      <c r="A1177" s="61"/>
      <c r="B1177" s="61"/>
      <c r="C1177" s="61"/>
      <c r="D1177" s="61"/>
      <c r="E1177" s="61"/>
      <c r="F1177" s="61"/>
      <c r="G1177" s="179"/>
      <c r="H1177" s="61"/>
      <c r="I1177" s="61"/>
      <c r="J1177" s="61"/>
      <c r="K1177" s="61"/>
      <c r="L1177" s="61"/>
      <c r="M1177" s="61"/>
      <c r="N1177" s="61"/>
      <c r="O1177" s="61"/>
      <c r="P1177" s="61"/>
      <c r="Q1177" s="61"/>
      <c r="R1177" s="61"/>
      <c r="S1177" s="61"/>
      <c r="T1177" s="61"/>
      <c r="U1177" s="61"/>
      <c r="V1177" s="61"/>
      <c r="W1177" s="61"/>
      <c r="X1177" s="61"/>
      <c r="Y1177" s="61"/>
      <c r="Z1177" s="61"/>
    </row>
    <row r="1178" spans="1:26" ht="13">
      <c r="A1178" s="61"/>
      <c r="B1178" s="61"/>
      <c r="C1178" s="61"/>
      <c r="D1178" s="61"/>
      <c r="E1178" s="61"/>
      <c r="F1178" s="61"/>
      <c r="G1178" s="179"/>
      <c r="H1178" s="61"/>
      <c r="I1178" s="61"/>
      <c r="J1178" s="61"/>
      <c r="K1178" s="61"/>
      <c r="L1178" s="61"/>
      <c r="M1178" s="61"/>
      <c r="N1178" s="61"/>
      <c r="O1178" s="61"/>
      <c r="P1178" s="61"/>
      <c r="Q1178" s="61"/>
      <c r="R1178" s="61"/>
      <c r="S1178" s="61"/>
      <c r="T1178" s="61"/>
      <c r="U1178" s="61"/>
      <c r="V1178" s="61"/>
      <c r="W1178" s="61"/>
      <c r="X1178" s="61"/>
      <c r="Y1178" s="61"/>
      <c r="Z1178" s="61"/>
    </row>
    <row r="1179" spans="1:26" ht="13">
      <c r="A1179" s="61"/>
      <c r="B1179" s="61"/>
      <c r="C1179" s="61"/>
      <c r="D1179" s="61"/>
      <c r="E1179" s="61"/>
      <c r="F1179" s="61"/>
      <c r="G1179" s="179"/>
      <c r="H1179" s="61"/>
      <c r="I1179" s="61"/>
      <c r="J1179" s="61"/>
      <c r="K1179" s="61"/>
      <c r="L1179" s="61"/>
      <c r="M1179" s="61"/>
      <c r="N1179" s="61"/>
      <c r="O1179" s="61"/>
      <c r="P1179" s="61"/>
      <c r="Q1179" s="61"/>
      <c r="R1179" s="61"/>
      <c r="S1179" s="61"/>
      <c r="T1179" s="61"/>
      <c r="U1179" s="61"/>
      <c r="V1179" s="61"/>
      <c r="W1179" s="61"/>
      <c r="X1179" s="61"/>
      <c r="Y1179" s="61"/>
      <c r="Z1179" s="61"/>
    </row>
    <row r="1180" spans="1:26" ht="13">
      <c r="A1180" s="61"/>
      <c r="B1180" s="61"/>
      <c r="C1180" s="61"/>
      <c r="D1180" s="61"/>
      <c r="E1180" s="61"/>
      <c r="F1180" s="61"/>
      <c r="G1180" s="179"/>
      <c r="H1180" s="61"/>
      <c r="I1180" s="61"/>
      <c r="J1180" s="61"/>
      <c r="K1180" s="61"/>
      <c r="L1180" s="61"/>
      <c r="M1180" s="61"/>
      <c r="N1180" s="61"/>
      <c r="O1180" s="61"/>
      <c r="P1180" s="61"/>
      <c r="Q1180" s="61"/>
      <c r="R1180" s="61"/>
      <c r="S1180" s="61"/>
      <c r="T1180" s="61"/>
      <c r="U1180" s="61"/>
      <c r="V1180" s="61"/>
      <c r="W1180" s="61"/>
      <c r="X1180" s="61"/>
      <c r="Y1180" s="61"/>
      <c r="Z1180" s="61"/>
    </row>
    <row r="1181" spans="1:26" ht="13">
      <c r="A1181" s="61"/>
      <c r="B1181" s="61"/>
      <c r="C1181" s="61"/>
      <c r="D1181" s="61"/>
      <c r="E1181" s="61"/>
      <c r="F1181" s="61"/>
      <c r="G1181" s="179"/>
      <c r="H1181" s="61"/>
      <c r="I1181" s="61"/>
      <c r="J1181" s="61"/>
      <c r="K1181" s="61"/>
      <c r="L1181" s="61"/>
      <c r="M1181" s="61"/>
      <c r="N1181" s="61"/>
      <c r="O1181" s="61"/>
      <c r="P1181" s="61"/>
      <c r="Q1181" s="61"/>
      <c r="R1181" s="61"/>
      <c r="S1181" s="61"/>
      <c r="T1181" s="61"/>
      <c r="U1181" s="61"/>
      <c r="V1181" s="61"/>
      <c r="W1181" s="61"/>
      <c r="X1181" s="61"/>
      <c r="Y1181" s="61"/>
      <c r="Z1181" s="61"/>
    </row>
    <row r="1182" spans="1:26" ht="13">
      <c r="A1182" s="61"/>
      <c r="B1182" s="61"/>
      <c r="C1182" s="61"/>
      <c r="D1182" s="61"/>
      <c r="E1182" s="61"/>
      <c r="F1182" s="61"/>
      <c r="G1182" s="179"/>
      <c r="H1182" s="61"/>
      <c r="I1182" s="61"/>
      <c r="J1182" s="61"/>
      <c r="K1182" s="61"/>
      <c r="L1182" s="61"/>
      <c r="M1182" s="61"/>
      <c r="N1182" s="61"/>
      <c r="O1182" s="61"/>
      <c r="P1182" s="61"/>
      <c r="Q1182" s="61"/>
      <c r="R1182" s="61"/>
      <c r="S1182" s="61"/>
      <c r="T1182" s="61"/>
      <c r="U1182" s="61"/>
      <c r="V1182" s="61"/>
      <c r="W1182" s="61"/>
      <c r="X1182" s="61"/>
      <c r="Y1182" s="61"/>
      <c r="Z1182" s="61"/>
    </row>
    <row r="1183" spans="1:26" ht="13">
      <c r="A1183" s="61"/>
      <c r="B1183" s="61"/>
      <c r="C1183" s="61"/>
      <c r="D1183" s="61"/>
      <c r="E1183" s="61"/>
      <c r="F1183" s="61"/>
      <c r="G1183" s="179"/>
      <c r="H1183" s="61"/>
      <c r="I1183" s="61"/>
      <c r="J1183" s="61"/>
      <c r="K1183" s="61"/>
      <c r="L1183" s="61"/>
      <c r="M1183" s="61"/>
      <c r="N1183" s="61"/>
      <c r="O1183" s="61"/>
      <c r="P1183" s="61"/>
      <c r="Q1183" s="61"/>
      <c r="R1183" s="61"/>
      <c r="S1183" s="61"/>
      <c r="T1183" s="61"/>
      <c r="U1183" s="61"/>
      <c r="V1183" s="61"/>
      <c r="W1183" s="61"/>
      <c r="X1183" s="61"/>
      <c r="Y1183" s="61"/>
      <c r="Z1183" s="61"/>
    </row>
    <row r="1184" spans="1:26" ht="13">
      <c r="A1184" s="61"/>
      <c r="B1184" s="61"/>
      <c r="C1184" s="61"/>
      <c r="D1184" s="61"/>
      <c r="E1184" s="61"/>
      <c r="F1184" s="61"/>
      <c r="G1184" s="179"/>
      <c r="H1184" s="61"/>
      <c r="I1184" s="61"/>
      <c r="J1184" s="61"/>
      <c r="K1184" s="61"/>
      <c r="L1184" s="61"/>
      <c r="M1184" s="61"/>
      <c r="N1184" s="61"/>
      <c r="O1184" s="61"/>
      <c r="P1184" s="61"/>
      <c r="Q1184" s="61"/>
      <c r="R1184" s="61"/>
      <c r="S1184" s="61"/>
      <c r="T1184" s="61"/>
      <c r="U1184" s="61"/>
      <c r="V1184" s="61"/>
      <c r="W1184" s="61"/>
      <c r="X1184" s="61"/>
      <c r="Y1184" s="61"/>
      <c r="Z1184" s="61"/>
    </row>
    <row r="1185" spans="1:26" ht="13">
      <c r="A1185" s="61"/>
      <c r="B1185" s="61"/>
      <c r="C1185" s="61"/>
      <c r="D1185" s="61"/>
      <c r="E1185" s="61"/>
      <c r="F1185" s="61"/>
      <c r="G1185" s="179"/>
      <c r="H1185" s="61"/>
      <c r="I1185" s="61"/>
      <c r="J1185" s="61"/>
      <c r="K1185" s="61"/>
      <c r="L1185" s="61"/>
      <c r="M1185" s="61"/>
      <c r="N1185" s="61"/>
      <c r="O1185" s="61"/>
      <c r="P1185" s="61"/>
      <c r="Q1185" s="61"/>
      <c r="R1185" s="61"/>
      <c r="S1185" s="61"/>
      <c r="T1185" s="61"/>
      <c r="U1185" s="61"/>
      <c r="V1185" s="61"/>
      <c r="W1185" s="61"/>
      <c r="X1185" s="61"/>
      <c r="Y1185" s="61"/>
      <c r="Z1185" s="61"/>
    </row>
    <row r="1186" spans="1:26" ht="13">
      <c r="A1186" s="61"/>
      <c r="B1186" s="61"/>
      <c r="C1186" s="61"/>
      <c r="D1186" s="61"/>
      <c r="E1186" s="61"/>
      <c r="F1186" s="61"/>
      <c r="G1186" s="179"/>
      <c r="H1186" s="61"/>
      <c r="I1186" s="61"/>
      <c r="J1186" s="61"/>
      <c r="K1186" s="61"/>
      <c r="L1186" s="61"/>
      <c r="M1186" s="61"/>
      <c r="N1186" s="61"/>
      <c r="O1186" s="61"/>
      <c r="P1186" s="61"/>
      <c r="Q1186" s="61"/>
      <c r="R1186" s="61"/>
      <c r="S1186" s="61"/>
      <c r="T1186" s="61"/>
      <c r="U1186" s="61"/>
      <c r="V1186" s="61"/>
      <c r="W1186" s="61"/>
      <c r="X1186" s="61"/>
      <c r="Y1186" s="61"/>
      <c r="Z1186" s="61"/>
    </row>
    <row r="1187" spans="1:26" ht="13">
      <c r="A1187" s="61"/>
      <c r="B1187" s="61"/>
      <c r="C1187" s="61"/>
      <c r="D1187" s="61"/>
      <c r="E1187" s="61"/>
      <c r="F1187" s="61"/>
      <c r="G1187" s="179"/>
      <c r="H1187" s="61"/>
      <c r="I1187" s="61"/>
      <c r="J1187" s="61"/>
      <c r="K1187" s="61"/>
      <c r="L1187" s="61"/>
      <c r="M1187" s="61"/>
      <c r="N1187" s="61"/>
      <c r="O1187" s="61"/>
      <c r="P1187" s="61"/>
      <c r="Q1187" s="61"/>
      <c r="R1187" s="61"/>
      <c r="S1187" s="61"/>
      <c r="T1187" s="61"/>
      <c r="U1187" s="61"/>
      <c r="V1187" s="61"/>
      <c r="W1187" s="61"/>
      <c r="X1187" s="61"/>
      <c r="Y1187" s="61"/>
      <c r="Z1187" s="61"/>
    </row>
    <row r="1188" spans="1:26" ht="13">
      <c r="A1188" s="61"/>
      <c r="B1188" s="61"/>
      <c r="C1188" s="61"/>
      <c r="D1188" s="61"/>
      <c r="E1188" s="61"/>
      <c r="F1188" s="61"/>
      <c r="G1188" s="179"/>
      <c r="H1188" s="61"/>
      <c r="I1188" s="61"/>
      <c r="J1188" s="61"/>
      <c r="K1188" s="61"/>
      <c r="L1188" s="61"/>
      <c r="M1188" s="61"/>
      <c r="N1188" s="61"/>
      <c r="O1188" s="61"/>
      <c r="P1188" s="61"/>
      <c r="Q1188" s="61"/>
      <c r="R1188" s="61"/>
      <c r="S1188" s="61"/>
      <c r="T1188" s="61"/>
      <c r="U1188" s="61"/>
      <c r="V1188" s="61"/>
      <c r="W1188" s="61"/>
      <c r="X1188" s="61"/>
      <c r="Y1188" s="61"/>
      <c r="Z1188" s="61"/>
    </row>
    <row r="1189" spans="1:26" ht="13">
      <c r="A1189" s="61"/>
      <c r="B1189" s="61"/>
      <c r="C1189" s="61"/>
      <c r="D1189" s="61"/>
      <c r="E1189" s="61"/>
      <c r="F1189" s="61"/>
      <c r="G1189" s="179"/>
      <c r="H1189" s="61"/>
      <c r="I1189" s="61"/>
      <c r="J1189" s="61"/>
      <c r="K1189" s="61"/>
      <c r="L1189" s="61"/>
      <c r="M1189" s="61"/>
      <c r="N1189" s="61"/>
      <c r="O1189" s="61"/>
      <c r="P1189" s="61"/>
      <c r="Q1189" s="61"/>
      <c r="R1189" s="61"/>
      <c r="S1189" s="61"/>
      <c r="T1189" s="61"/>
      <c r="U1189" s="61"/>
      <c r="V1189" s="61"/>
      <c r="W1189" s="61"/>
      <c r="X1189" s="61"/>
      <c r="Y1189" s="61"/>
      <c r="Z1189" s="61"/>
    </row>
    <row r="1190" spans="1:26" ht="13">
      <c r="A1190" s="61"/>
      <c r="B1190" s="61"/>
      <c r="C1190" s="61"/>
      <c r="D1190" s="61"/>
      <c r="E1190" s="61"/>
      <c r="F1190" s="61"/>
      <c r="G1190" s="179"/>
      <c r="H1190" s="61"/>
      <c r="I1190" s="61"/>
      <c r="J1190" s="61"/>
      <c r="K1190" s="61"/>
      <c r="L1190" s="61"/>
      <c r="M1190" s="61"/>
      <c r="N1190" s="61"/>
      <c r="O1190" s="61"/>
      <c r="P1190" s="61"/>
      <c r="Q1190" s="61"/>
      <c r="R1190" s="61"/>
      <c r="S1190" s="61"/>
      <c r="T1190" s="61"/>
      <c r="U1190" s="61"/>
      <c r="V1190" s="61"/>
      <c r="W1190" s="61"/>
      <c r="X1190" s="61"/>
      <c r="Y1190" s="61"/>
      <c r="Z1190" s="61"/>
    </row>
    <row r="1191" spans="1:26" ht="13">
      <c r="A1191" s="61"/>
      <c r="B1191" s="61"/>
      <c r="C1191" s="61"/>
      <c r="D1191" s="61"/>
      <c r="E1191" s="61"/>
      <c r="F1191" s="61"/>
      <c r="G1191" s="179"/>
      <c r="H1191" s="61"/>
      <c r="I1191" s="61"/>
      <c r="J1191" s="61"/>
      <c r="K1191" s="61"/>
      <c r="L1191" s="61"/>
      <c r="M1191" s="61"/>
      <c r="N1191" s="61"/>
      <c r="O1191" s="61"/>
      <c r="P1191" s="61"/>
      <c r="Q1191" s="61"/>
      <c r="R1191" s="61"/>
      <c r="S1191" s="61"/>
      <c r="T1191" s="61"/>
      <c r="U1191" s="61"/>
      <c r="V1191" s="61"/>
      <c r="W1191" s="61"/>
      <c r="X1191" s="61"/>
      <c r="Y1191" s="61"/>
      <c r="Z1191" s="61"/>
    </row>
    <row r="1192" spans="1:26" ht="13">
      <c r="A1192" s="61"/>
      <c r="B1192" s="61"/>
      <c r="C1192" s="61"/>
      <c r="D1192" s="61"/>
      <c r="E1192" s="61"/>
      <c r="F1192" s="61"/>
      <c r="G1192" s="179"/>
      <c r="H1192" s="61"/>
      <c r="I1192" s="61"/>
      <c r="J1192" s="61"/>
      <c r="K1192" s="61"/>
      <c r="L1192" s="61"/>
      <c r="M1192" s="61"/>
      <c r="N1192" s="61"/>
      <c r="O1192" s="61"/>
      <c r="P1192" s="61"/>
      <c r="Q1192" s="61"/>
      <c r="R1192" s="61"/>
      <c r="S1192" s="61"/>
      <c r="T1192" s="61"/>
      <c r="U1192" s="61"/>
      <c r="V1192" s="61"/>
      <c r="W1192" s="61"/>
      <c r="X1192" s="61"/>
      <c r="Y1192" s="61"/>
      <c r="Z1192" s="61"/>
    </row>
    <row r="1193" spans="1:26" ht="13">
      <c r="A1193" s="61"/>
      <c r="B1193" s="61"/>
      <c r="C1193" s="61"/>
      <c r="D1193" s="61"/>
      <c r="E1193" s="61"/>
      <c r="F1193" s="61"/>
      <c r="G1193" s="179"/>
      <c r="H1193" s="61"/>
      <c r="I1193" s="61"/>
      <c r="J1193" s="61"/>
      <c r="K1193" s="61"/>
      <c r="L1193" s="61"/>
      <c r="M1193" s="61"/>
      <c r="N1193" s="61"/>
      <c r="O1193" s="61"/>
      <c r="P1193" s="61"/>
      <c r="Q1193" s="61"/>
      <c r="R1193" s="61"/>
      <c r="S1193" s="61"/>
      <c r="T1193" s="61"/>
      <c r="U1193" s="61"/>
      <c r="V1193" s="61"/>
      <c r="W1193" s="61"/>
      <c r="X1193" s="61"/>
      <c r="Y1193" s="61"/>
      <c r="Z1193" s="61"/>
    </row>
    <row r="1194" spans="1:26" ht="13">
      <c r="A1194" s="61"/>
      <c r="B1194" s="61"/>
      <c r="C1194" s="61"/>
      <c r="D1194" s="61"/>
      <c r="E1194" s="61"/>
      <c r="F1194" s="61"/>
      <c r="G1194" s="179"/>
      <c r="H1194" s="61"/>
      <c r="I1194" s="61"/>
      <c r="J1194" s="61"/>
      <c r="K1194" s="61"/>
      <c r="L1194" s="61"/>
      <c r="M1194" s="61"/>
      <c r="N1194" s="61"/>
      <c r="O1194" s="61"/>
      <c r="P1194" s="61"/>
      <c r="Q1194" s="61"/>
      <c r="R1194" s="61"/>
      <c r="S1194" s="61"/>
      <c r="T1194" s="61"/>
      <c r="U1194" s="61"/>
      <c r="V1194" s="61"/>
      <c r="W1194" s="61"/>
      <c r="X1194" s="61"/>
      <c r="Y1194" s="61"/>
      <c r="Z1194" s="61"/>
    </row>
    <row r="1195" spans="1:26" ht="13">
      <c r="A1195" s="61"/>
      <c r="B1195" s="61"/>
      <c r="C1195" s="61"/>
      <c r="D1195" s="61"/>
      <c r="E1195" s="61"/>
      <c r="F1195" s="61"/>
      <c r="G1195" s="179"/>
      <c r="H1195" s="61"/>
      <c r="I1195" s="61"/>
      <c r="J1195" s="61"/>
      <c r="K1195" s="61"/>
      <c r="L1195" s="61"/>
      <c r="M1195" s="61"/>
      <c r="N1195" s="61"/>
      <c r="O1195" s="61"/>
      <c r="P1195" s="61"/>
      <c r="Q1195" s="61"/>
      <c r="R1195" s="61"/>
      <c r="S1195" s="61"/>
      <c r="T1195" s="61"/>
      <c r="U1195" s="61"/>
      <c r="V1195" s="61"/>
      <c r="W1195" s="61"/>
      <c r="X1195" s="61"/>
      <c r="Y1195" s="61"/>
      <c r="Z1195" s="61"/>
    </row>
    <row r="1196" spans="1:26" ht="13">
      <c r="A1196" s="61"/>
      <c r="B1196" s="61"/>
      <c r="C1196" s="61"/>
      <c r="D1196" s="61"/>
      <c r="E1196" s="61"/>
      <c r="F1196" s="61"/>
      <c r="G1196" s="179"/>
      <c r="H1196" s="61"/>
      <c r="I1196" s="61"/>
      <c r="J1196" s="61"/>
      <c r="K1196" s="61"/>
      <c r="L1196" s="61"/>
      <c r="M1196" s="61"/>
      <c r="N1196" s="61"/>
      <c r="O1196" s="61"/>
      <c r="P1196" s="61"/>
      <c r="Q1196" s="61"/>
      <c r="R1196" s="61"/>
      <c r="S1196" s="61"/>
      <c r="T1196" s="61"/>
      <c r="U1196" s="61"/>
      <c r="V1196" s="61"/>
      <c r="W1196" s="61"/>
      <c r="X1196" s="61"/>
      <c r="Y1196" s="61"/>
      <c r="Z1196" s="61"/>
    </row>
    <row r="1197" spans="1:26" ht="13">
      <c r="A1197" s="61"/>
      <c r="B1197" s="61"/>
      <c r="C1197" s="61"/>
      <c r="D1197" s="61"/>
      <c r="E1197" s="61"/>
      <c r="F1197" s="61"/>
      <c r="G1197" s="179"/>
      <c r="H1197" s="61"/>
      <c r="I1197" s="61"/>
      <c r="J1197" s="61"/>
      <c r="K1197" s="61"/>
      <c r="L1197" s="61"/>
      <c r="M1197" s="61"/>
      <c r="N1197" s="61"/>
      <c r="O1197" s="61"/>
      <c r="P1197" s="61"/>
      <c r="Q1197" s="61"/>
      <c r="R1197" s="61"/>
      <c r="S1197" s="61"/>
      <c r="T1197" s="61"/>
      <c r="U1197" s="61"/>
      <c r="V1197" s="61"/>
      <c r="W1197" s="61"/>
      <c r="X1197" s="61"/>
      <c r="Y1197" s="61"/>
      <c r="Z1197" s="61"/>
    </row>
    <row r="1198" spans="1:26" ht="13">
      <c r="A1198" s="61"/>
      <c r="B1198" s="61"/>
      <c r="C1198" s="61"/>
      <c r="D1198" s="61"/>
      <c r="E1198" s="61"/>
      <c r="F1198" s="61"/>
      <c r="G1198" s="179"/>
      <c r="H1198" s="61"/>
      <c r="I1198" s="61"/>
      <c r="J1198" s="61"/>
      <c r="K1198" s="61"/>
      <c r="L1198" s="61"/>
      <c r="M1198" s="61"/>
      <c r="N1198" s="61"/>
      <c r="O1198" s="61"/>
      <c r="P1198" s="61"/>
      <c r="Q1198" s="61"/>
      <c r="R1198" s="61"/>
      <c r="S1198" s="61"/>
      <c r="T1198" s="61"/>
      <c r="U1198" s="61"/>
      <c r="V1198" s="61"/>
      <c r="W1198" s="61"/>
      <c r="X1198" s="61"/>
      <c r="Y1198" s="61"/>
      <c r="Z1198" s="61"/>
    </row>
    <row r="1199" spans="1:26" ht="13">
      <c r="A1199" s="61"/>
      <c r="B1199" s="61"/>
      <c r="C1199" s="61"/>
      <c r="D1199" s="61"/>
      <c r="E1199" s="61"/>
      <c r="F1199" s="61"/>
      <c r="G1199" s="179"/>
      <c r="H1199" s="61"/>
      <c r="I1199" s="61"/>
      <c r="J1199" s="61"/>
      <c r="K1199" s="61"/>
      <c r="L1199" s="61"/>
      <c r="M1199" s="61"/>
      <c r="N1199" s="61"/>
      <c r="O1199" s="61"/>
      <c r="P1199" s="61"/>
      <c r="Q1199" s="61"/>
      <c r="R1199" s="61"/>
      <c r="S1199" s="61"/>
      <c r="T1199" s="61"/>
      <c r="U1199" s="61"/>
      <c r="V1199" s="61"/>
      <c r="W1199" s="61"/>
      <c r="X1199" s="61"/>
      <c r="Y1199" s="61"/>
      <c r="Z1199" s="61"/>
    </row>
    <row r="1200" spans="1:26" ht="13">
      <c r="A1200" s="61"/>
      <c r="B1200" s="61"/>
      <c r="C1200" s="61"/>
      <c r="D1200" s="61"/>
      <c r="E1200" s="61"/>
      <c r="F1200" s="61"/>
      <c r="G1200" s="179"/>
      <c r="H1200" s="61"/>
      <c r="I1200" s="61"/>
      <c r="J1200" s="61"/>
      <c r="K1200" s="61"/>
      <c r="L1200" s="61"/>
      <c r="M1200" s="61"/>
      <c r="N1200" s="61"/>
      <c r="O1200" s="61"/>
      <c r="P1200" s="61"/>
      <c r="Q1200" s="61"/>
      <c r="R1200" s="61"/>
      <c r="S1200" s="61"/>
      <c r="T1200" s="61"/>
      <c r="U1200" s="61"/>
      <c r="V1200" s="61"/>
      <c r="W1200" s="61"/>
      <c r="X1200" s="61"/>
      <c r="Y1200" s="61"/>
      <c r="Z1200" s="61"/>
    </row>
    <row r="1201" spans="1:26" ht="13">
      <c r="A1201" s="61"/>
      <c r="B1201" s="61"/>
      <c r="C1201" s="61"/>
      <c r="D1201" s="61"/>
      <c r="E1201" s="61"/>
      <c r="F1201" s="61"/>
      <c r="G1201" s="179"/>
      <c r="H1201" s="61"/>
      <c r="I1201" s="61"/>
      <c r="J1201" s="61"/>
      <c r="K1201" s="61"/>
      <c r="L1201" s="61"/>
      <c r="M1201" s="61"/>
      <c r="N1201" s="61"/>
      <c r="O1201" s="61"/>
      <c r="P1201" s="61"/>
      <c r="Q1201" s="61"/>
      <c r="R1201" s="61"/>
      <c r="S1201" s="61"/>
      <c r="T1201" s="61"/>
      <c r="U1201" s="61"/>
      <c r="V1201" s="61"/>
      <c r="W1201" s="61"/>
      <c r="X1201" s="61"/>
      <c r="Y1201" s="61"/>
      <c r="Z1201" s="61"/>
    </row>
    <row r="1202" spans="1:26" ht="13">
      <c r="A1202" s="61"/>
      <c r="B1202" s="61"/>
      <c r="C1202" s="61"/>
      <c r="D1202" s="61"/>
      <c r="E1202" s="61"/>
      <c r="F1202" s="61"/>
      <c r="G1202" s="179"/>
      <c r="H1202" s="61"/>
      <c r="I1202" s="61"/>
      <c r="J1202" s="61"/>
      <c r="K1202" s="61"/>
      <c r="L1202" s="61"/>
      <c r="M1202" s="61"/>
      <c r="N1202" s="61"/>
      <c r="O1202" s="61"/>
      <c r="P1202" s="61"/>
      <c r="Q1202" s="61"/>
      <c r="R1202" s="61"/>
      <c r="S1202" s="61"/>
      <c r="T1202" s="61"/>
      <c r="U1202" s="61"/>
      <c r="V1202" s="61"/>
      <c r="W1202" s="61"/>
      <c r="X1202" s="61"/>
      <c r="Y1202" s="61"/>
      <c r="Z1202" s="61"/>
    </row>
    <row r="1203" spans="1:26" ht="13">
      <c r="A1203" s="61"/>
      <c r="B1203" s="61"/>
      <c r="C1203" s="61"/>
      <c r="D1203" s="61"/>
      <c r="E1203" s="61"/>
      <c r="F1203" s="61"/>
      <c r="G1203" s="179"/>
      <c r="H1203" s="61"/>
      <c r="I1203" s="61"/>
      <c r="J1203" s="61"/>
      <c r="K1203" s="61"/>
      <c r="L1203" s="61"/>
      <c r="M1203" s="61"/>
      <c r="N1203" s="61"/>
      <c r="O1203" s="61"/>
      <c r="P1203" s="61"/>
      <c r="Q1203" s="61"/>
      <c r="R1203" s="61"/>
      <c r="S1203" s="61"/>
      <c r="T1203" s="61"/>
      <c r="U1203" s="61"/>
      <c r="V1203" s="61"/>
      <c r="W1203" s="61"/>
      <c r="X1203" s="61"/>
      <c r="Y1203" s="61"/>
      <c r="Z1203" s="61"/>
    </row>
    <row r="1204" spans="1:26" ht="13">
      <c r="A1204" s="61"/>
      <c r="B1204" s="61"/>
      <c r="C1204" s="61"/>
      <c r="D1204" s="61"/>
      <c r="E1204" s="61"/>
      <c r="F1204" s="61"/>
      <c r="G1204" s="179"/>
      <c r="H1204" s="61"/>
      <c r="I1204" s="61"/>
      <c r="J1204" s="61"/>
      <c r="K1204" s="61"/>
      <c r="L1204" s="61"/>
      <c r="M1204" s="61"/>
      <c r="N1204" s="61"/>
      <c r="O1204" s="61"/>
      <c r="P1204" s="61"/>
      <c r="Q1204" s="61"/>
      <c r="R1204" s="61"/>
      <c r="S1204" s="61"/>
      <c r="T1204" s="61"/>
      <c r="U1204" s="61"/>
      <c r="V1204" s="61"/>
      <c r="W1204" s="61"/>
      <c r="X1204" s="61"/>
      <c r="Y1204" s="61"/>
      <c r="Z1204" s="61"/>
    </row>
    <row r="1205" spans="1:26" ht="13">
      <c r="A1205" s="61"/>
      <c r="B1205" s="61"/>
      <c r="C1205" s="61"/>
      <c r="D1205" s="61"/>
      <c r="E1205" s="61"/>
      <c r="F1205" s="61"/>
      <c r="G1205" s="179"/>
      <c r="H1205" s="61"/>
      <c r="I1205" s="61"/>
      <c r="J1205" s="61"/>
      <c r="K1205" s="61"/>
      <c r="L1205" s="61"/>
      <c r="M1205" s="61"/>
      <c r="N1205" s="61"/>
      <c r="O1205" s="61"/>
      <c r="P1205" s="61"/>
      <c r="Q1205" s="61"/>
      <c r="R1205" s="61"/>
      <c r="S1205" s="61"/>
      <c r="T1205" s="61"/>
      <c r="U1205" s="61"/>
      <c r="V1205" s="61"/>
      <c r="W1205" s="61"/>
      <c r="X1205" s="61"/>
      <c r="Y1205" s="61"/>
      <c r="Z1205" s="61"/>
    </row>
    <row r="1206" spans="1:26" ht="13">
      <c r="A1206" s="61"/>
      <c r="B1206" s="61"/>
      <c r="C1206" s="61"/>
      <c r="D1206" s="61"/>
      <c r="E1206" s="61"/>
      <c r="F1206" s="61"/>
      <c r="G1206" s="179"/>
      <c r="H1206" s="61"/>
      <c r="I1206" s="61"/>
      <c r="J1206" s="61"/>
      <c r="K1206" s="61"/>
      <c r="L1206" s="61"/>
      <c r="M1206" s="61"/>
      <c r="N1206" s="61"/>
      <c r="O1206" s="61"/>
      <c r="P1206" s="61"/>
      <c r="Q1206" s="61"/>
      <c r="R1206" s="61"/>
      <c r="S1206" s="61"/>
      <c r="T1206" s="61"/>
      <c r="U1206" s="61"/>
      <c r="V1206" s="61"/>
      <c r="W1206" s="61"/>
      <c r="X1206" s="61"/>
      <c r="Y1206" s="61"/>
      <c r="Z1206" s="61"/>
    </row>
    <row r="1207" spans="1:26" ht="13">
      <c r="A1207" s="61"/>
      <c r="B1207" s="61"/>
      <c r="C1207" s="61"/>
      <c r="D1207" s="61"/>
      <c r="E1207" s="61"/>
      <c r="F1207" s="61"/>
      <c r="G1207" s="179"/>
      <c r="H1207" s="61"/>
      <c r="I1207" s="61"/>
      <c r="J1207" s="61"/>
      <c r="K1207" s="61"/>
      <c r="L1207" s="61"/>
      <c r="M1207" s="61"/>
      <c r="N1207" s="61"/>
      <c r="O1207" s="61"/>
      <c r="P1207" s="61"/>
      <c r="Q1207" s="61"/>
      <c r="R1207" s="61"/>
      <c r="S1207" s="61"/>
      <c r="T1207" s="61"/>
      <c r="U1207" s="61"/>
      <c r="V1207" s="61"/>
      <c r="W1207" s="61"/>
      <c r="X1207" s="61"/>
      <c r="Y1207" s="61"/>
      <c r="Z1207" s="61"/>
    </row>
    <row r="1208" spans="1:26" ht="13">
      <c r="A1208" s="61"/>
      <c r="B1208" s="61"/>
      <c r="C1208" s="61"/>
      <c r="D1208" s="61"/>
      <c r="E1208" s="61"/>
      <c r="F1208" s="61"/>
      <c r="G1208" s="179"/>
      <c r="H1208" s="61"/>
      <c r="I1208" s="61"/>
      <c r="J1208" s="61"/>
      <c r="K1208" s="61"/>
      <c r="L1208" s="61"/>
      <c r="M1208" s="61"/>
      <c r="N1208" s="61"/>
      <c r="O1208" s="61"/>
      <c r="P1208" s="61"/>
      <c r="Q1208" s="61"/>
      <c r="R1208" s="61"/>
      <c r="S1208" s="61"/>
      <c r="T1208" s="61"/>
      <c r="U1208" s="61"/>
      <c r="V1208" s="61"/>
      <c r="W1208" s="61"/>
      <c r="X1208" s="61"/>
      <c r="Y1208" s="61"/>
      <c r="Z1208" s="61"/>
    </row>
    <row r="1209" spans="1:26" ht="13">
      <c r="A1209" s="61"/>
      <c r="B1209" s="61"/>
      <c r="C1209" s="61"/>
      <c r="D1209" s="61"/>
      <c r="E1209" s="61"/>
      <c r="F1209" s="61"/>
      <c r="G1209" s="179"/>
      <c r="H1209" s="61"/>
      <c r="I1209" s="61"/>
      <c r="J1209" s="61"/>
      <c r="K1209" s="61"/>
      <c r="L1209" s="61"/>
      <c r="M1209" s="61"/>
      <c r="N1209" s="61"/>
      <c r="O1209" s="61"/>
      <c r="P1209" s="61"/>
      <c r="Q1209" s="61"/>
      <c r="R1209" s="61"/>
      <c r="S1209" s="61"/>
      <c r="T1209" s="61"/>
      <c r="U1209" s="61"/>
      <c r="V1209" s="61"/>
      <c r="W1209" s="61"/>
      <c r="X1209" s="61"/>
      <c r="Y1209" s="61"/>
      <c r="Z1209" s="61"/>
    </row>
    <row r="1210" spans="1:26" ht="13">
      <c r="A1210" s="61"/>
      <c r="B1210" s="61"/>
      <c r="C1210" s="61"/>
      <c r="D1210" s="61"/>
      <c r="E1210" s="61"/>
      <c r="F1210" s="61"/>
      <c r="G1210" s="179"/>
      <c r="H1210" s="61"/>
      <c r="I1210" s="61"/>
      <c r="J1210" s="61"/>
      <c r="K1210" s="61"/>
      <c r="L1210" s="61"/>
      <c r="M1210" s="61"/>
      <c r="N1210" s="61"/>
      <c r="O1210" s="61"/>
      <c r="P1210" s="61"/>
      <c r="Q1210" s="61"/>
      <c r="R1210" s="61"/>
      <c r="S1210" s="61"/>
      <c r="T1210" s="61"/>
      <c r="U1210" s="61"/>
      <c r="V1210" s="61"/>
      <c r="W1210" s="61"/>
      <c r="X1210" s="61"/>
      <c r="Y1210" s="61"/>
      <c r="Z1210" s="61"/>
    </row>
    <row r="1211" spans="1:26" ht="13">
      <c r="A1211" s="61"/>
      <c r="B1211" s="61"/>
      <c r="C1211" s="61"/>
      <c r="D1211" s="61"/>
      <c r="E1211" s="61"/>
      <c r="F1211" s="61"/>
      <c r="G1211" s="179"/>
      <c r="H1211" s="61"/>
      <c r="I1211" s="61"/>
      <c r="J1211" s="61"/>
      <c r="K1211" s="61"/>
      <c r="L1211" s="61"/>
      <c r="M1211" s="61"/>
      <c r="N1211" s="61"/>
      <c r="O1211" s="61"/>
      <c r="P1211" s="61"/>
      <c r="Q1211" s="61"/>
      <c r="R1211" s="61"/>
      <c r="S1211" s="61"/>
      <c r="T1211" s="61"/>
      <c r="U1211" s="61"/>
      <c r="V1211" s="61"/>
      <c r="W1211" s="61"/>
      <c r="X1211" s="61"/>
      <c r="Y1211" s="61"/>
      <c r="Z1211" s="61"/>
    </row>
    <row r="1212" spans="1:26" ht="13">
      <c r="A1212" s="61"/>
      <c r="B1212" s="61"/>
      <c r="C1212" s="61"/>
      <c r="D1212" s="61"/>
      <c r="E1212" s="61"/>
      <c r="F1212" s="61"/>
      <c r="G1212" s="179"/>
      <c r="H1212" s="61"/>
      <c r="I1212" s="61"/>
      <c r="J1212" s="61"/>
      <c r="K1212" s="61"/>
      <c r="L1212" s="61"/>
      <c r="M1212" s="61"/>
      <c r="N1212" s="61"/>
      <c r="O1212" s="61"/>
      <c r="P1212" s="61"/>
      <c r="Q1212" s="61"/>
      <c r="R1212" s="61"/>
      <c r="S1212" s="61"/>
      <c r="T1212" s="61"/>
      <c r="U1212" s="61"/>
      <c r="V1212" s="61"/>
      <c r="W1212" s="61"/>
      <c r="X1212" s="61"/>
      <c r="Y1212" s="61"/>
      <c r="Z1212" s="61"/>
    </row>
    <row r="1213" spans="1:26" ht="13">
      <c r="A1213" s="61"/>
      <c r="B1213" s="61"/>
      <c r="C1213" s="61"/>
      <c r="D1213" s="61"/>
      <c r="E1213" s="61"/>
      <c r="F1213" s="61"/>
      <c r="G1213" s="179"/>
      <c r="H1213" s="61"/>
      <c r="I1213" s="61"/>
      <c r="J1213" s="61"/>
      <c r="K1213" s="61"/>
      <c r="L1213" s="61"/>
      <c r="M1213" s="61"/>
      <c r="N1213" s="61"/>
      <c r="O1213" s="61"/>
      <c r="P1213" s="61"/>
      <c r="Q1213" s="61"/>
      <c r="R1213" s="61"/>
      <c r="S1213" s="61"/>
      <c r="T1213" s="61"/>
      <c r="U1213" s="61"/>
      <c r="V1213" s="61"/>
      <c r="W1213" s="61"/>
      <c r="X1213" s="61"/>
      <c r="Y1213" s="61"/>
      <c r="Z1213" s="61"/>
    </row>
    <row r="1214" spans="1:26" ht="13">
      <c r="A1214" s="61"/>
      <c r="B1214" s="61"/>
      <c r="C1214" s="61"/>
      <c r="D1214" s="61"/>
      <c r="E1214" s="61"/>
      <c r="F1214" s="61"/>
      <c r="G1214" s="179"/>
      <c r="H1214" s="61"/>
      <c r="I1214" s="61"/>
      <c r="J1214" s="61"/>
      <c r="K1214" s="61"/>
      <c r="L1214" s="61"/>
      <c r="M1214" s="61"/>
      <c r="N1214" s="61"/>
      <c r="O1214" s="61"/>
      <c r="P1214" s="61"/>
      <c r="Q1214" s="61"/>
      <c r="R1214" s="61"/>
      <c r="S1214" s="61"/>
      <c r="T1214" s="61"/>
      <c r="U1214" s="61"/>
      <c r="V1214" s="61"/>
      <c r="W1214" s="61"/>
      <c r="X1214" s="61"/>
      <c r="Y1214" s="61"/>
      <c r="Z1214" s="61"/>
    </row>
    <row r="1215" spans="1:26" ht="13">
      <c r="A1215" s="61"/>
      <c r="B1215" s="61"/>
      <c r="C1215" s="61"/>
      <c r="D1215" s="61"/>
      <c r="E1215" s="61"/>
      <c r="F1215" s="61"/>
      <c r="G1215" s="179"/>
      <c r="H1215" s="61"/>
      <c r="I1215" s="61"/>
      <c r="J1215" s="61"/>
      <c r="K1215" s="61"/>
      <c r="L1215" s="61"/>
      <c r="M1215" s="61"/>
      <c r="N1215" s="61"/>
      <c r="O1215" s="61"/>
      <c r="P1215" s="61"/>
      <c r="Q1215" s="61"/>
      <c r="R1215" s="61"/>
      <c r="S1215" s="61"/>
      <c r="T1215" s="61"/>
      <c r="U1215" s="61"/>
      <c r="V1215" s="61"/>
      <c r="W1215" s="61"/>
      <c r="X1215" s="61"/>
      <c r="Y1215" s="61"/>
      <c r="Z1215" s="61"/>
    </row>
    <row r="1216" spans="1:26" ht="13">
      <c r="A1216" s="61"/>
      <c r="B1216" s="61"/>
      <c r="C1216" s="61"/>
      <c r="D1216" s="61"/>
      <c r="E1216" s="61"/>
      <c r="F1216" s="61"/>
      <c r="G1216" s="179"/>
      <c r="H1216" s="61"/>
      <c r="I1216" s="61"/>
      <c r="J1216" s="61"/>
      <c r="K1216" s="61"/>
      <c r="L1216" s="61"/>
      <c r="M1216" s="61"/>
      <c r="N1216" s="61"/>
      <c r="O1216" s="61"/>
      <c r="P1216" s="61"/>
      <c r="Q1216" s="61"/>
      <c r="R1216" s="61"/>
      <c r="S1216" s="61"/>
      <c r="T1216" s="61"/>
      <c r="U1216" s="61"/>
      <c r="V1216" s="61"/>
      <c r="W1216" s="61"/>
      <c r="X1216" s="61"/>
      <c r="Y1216" s="61"/>
      <c r="Z1216" s="61"/>
    </row>
    <row r="1217" spans="1:26" ht="13">
      <c r="A1217" s="61"/>
      <c r="B1217" s="61"/>
      <c r="C1217" s="61"/>
      <c r="D1217" s="61"/>
      <c r="E1217" s="61"/>
      <c r="F1217" s="61"/>
      <c r="G1217" s="179"/>
      <c r="H1217" s="61"/>
      <c r="I1217" s="61"/>
      <c r="J1217" s="61"/>
      <c r="K1217" s="61"/>
      <c r="L1217" s="61"/>
      <c r="M1217" s="61"/>
      <c r="N1217" s="61"/>
      <c r="O1217" s="61"/>
      <c r="P1217" s="61"/>
      <c r="Q1217" s="61"/>
      <c r="R1217" s="61"/>
      <c r="S1217" s="61"/>
      <c r="T1217" s="61"/>
      <c r="U1217" s="61"/>
      <c r="V1217" s="61"/>
      <c r="W1217" s="61"/>
      <c r="X1217" s="61"/>
      <c r="Y1217" s="61"/>
      <c r="Z1217" s="61"/>
    </row>
    <row r="1218" spans="1:26" ht="13">
      <c r="A1218" s="61"/>
      <c r="B1218" s="61"/>
      <c r="C1218" s="61"/>
      <c r="D1218" s="61"/>
      <c r="E1218" s="61"/>
      <c r="F1218" s="61"/>
      <c r="G1218" s="179"/>
      <c r="H1218" s="61"/>
      <c r="I1218" s="61"/>
      <c r="J1218" s="61"/>
      <c r="K1218" s="61"/>
      <c r="L1218" s="61"/>
      <c r="M1218" s="61"/>
      <c r="N1218" s="61"/>
      <c r="O1218" s="61"/>
      <c r="P1218" s="61"/>
      <c r="Q1218" s="61"/>
      <c r="R1218" s="61"/>
      <c r="S1218" s="61"/>
      <c r="T1218" s="61"/>
      <c r="U1218" s="61"/>
      <c r="V1218" s="61"/>
      <c r="W1218" s="61"/>
      <c r="X1218" s="61"/>
      <c r="Y1218" s="61"/>
      <c r="Z1218" s="61"/>
    </row>
    <row r="1219" spans="1:26" ht="13">
      <c r="A1219" s="61"/>
      <c r="B1219" s="61"/>
      <c r="C1219" s="61"/>
      <c r="D1219" s="61"/>
      <c r="E1219" s="61"/>
      <c r="F1219" s="61"/>
      <c r="G1219" s="179"/>
      <c r="H1219" s="61"/>
      <c r="I1219" s="61"/>
      <c r="J1219" s="61"/>
      <c r="K1219" s="61"/>
      <c r="L1219" s="61"/>
      <c r="M1219" s="61"/>
      <c r="N1219" s="61"/>
      <c r="O1219" s="61"/>
      <c r="P1219" s="61"/>
      <c r="Q1219" s="61"/>
      <c r="R1219" s="61"/>
      <c r="S1219" s="61"/>
      <c r="T1219" s="61"/>
      <c r="U1219" s="61"/>
      <c r="V1219" s="61"/>
      <c r="W1219" s="61"/>
      <c r="X1219" s="61"/>
      <c r="Y1219" s="61"/>
      <c r="Z1219" s="61"/>
    </row>
    <row r="1220" spans="1:26" ht="13">
      <c r="A1220" s="61"/>
      <c r="B1220" s="61"/>
      <c r="C1220" s="61"/>
      <c r="D1220" s="61"/>
      <c r="E1220" s="61"/>
      <c r="F1220" s="61"/>
      <c r="G1220" s="179"/>
      <c r="H1220" s="61"/>
      <c r="I1220" s="61"/>
      <c r="J1220" s="61"/>
      <c r="K1220" s="61"/>
      <c r="L1220" s="61"/>
      <c r="M1220" s="61"/>
      <c r="N1220" s="61"/>
      <c r="O1220" s="61"/>
      <c r="P1220" s="61"/>
      <c r="Q1220" s="61"/>
      <c r="R1220" s="61"/>
      <c r="S1220" s="61"/>
      <c r="T1220" s="61"/>
      <c r="U1220" s="61"/>
      <c r="V1220" s="61"/>
      <c r="W1220" s="61"/>
      <c r="X1220" s="61"/>
      <c r="Y1220" s="61"/>
      <c r="Z1220" s="61"/>
    </row>
    <row r="1221" spans="1:26" ht="13">
      <c r="A1221" s="61"/>
      <c r="B1221" s="61"/>
      <c r="C1221" s="61"/>
      <c r="D1221" s="61"/>
      <c r="E1221" s="61"/>
      <c r="F1221" s="61"/>
      <c r="G1221" s="179"/>
      <c r="H1221" s="61"/>
      <c r="I1221" s="61"/>
      <c r="J1221" s="61"/>
      <c r="K1221" s="61"/>
      <c r="L1221" s="61"/>
      <c r="M1221" s="61"/>
      <c r="N1221" s="61"/>
      <c r="O1221" s="61"/>
      <c r="P1221" s="61"/>
      <c r="Q1221" s="61"/>
      <c r="R1221" s="61"/>
      <c r="S1221" s="61"/>
      <c r="T1221" s="61"/>
      <c r="U1221" s="61"/>
      <c r="V1221" s="61"/>
      <c r="W1221" s="61"/>
      <c r="X1221" s="61"/>
      <c r="Y1221" s="61"/>
      <c r="Z1221" s="61"/>
    </row>
    <row r="1222" spans="1:26" ht="13">
      <c r="A1222" s="61"/>
      <c r="B1222" s="61"/>
      <c r="C1222" s="61"/>
      <c r="D1222" s="61"/>
      <c r="E1222" s="61"/>
      <c r="F1222" s="61"/>
      <c r="G1222" s="179"/>
      <c r="H1222" s="61"/>
      <c r="I1222" s="61"/>
      <c r="J1222" s="61"/>
      <c r="K1222" s="61"/>
      <c r="L1222" s="61"/>
      <c r="M1222" s="61"/>
      <c r="N1222" s="61"/>
      <c r="O1222" s="61"/>
      <c r="P1222" s="61"/>
      <c r="Q1222" s="61"/>
      <c r="R1222" s="61"/>
      <c r="S1222" s="61"/>
      <c r="T1222" s="61"/>
      <c r="U1222" s="61"/>
      <c r="V1222" s="61"/>
      <c r="W1222" s="61"/>
      <c r="X1222" s="61"/>
      <c r="Y1222" s="61"/>
      <c r="Z1222" s="61"/>
    </row>
    <row r="1223" spans="1:26" ht="13">
      <c r="A1223" s="61"/>
      <c r="B1223" s="61"/>
      <c r="C1223" s="61"/>
      <c r="D1223" s="61"/>
      <c r="E1223" s="61"/>
      <c r="F1223" s="61"/>
      <c r="G1223" s="179"/>
      <c r="H1223" s="61"/>
      <c r="I1223" s="61"/>
      <c r="J1223" s="61"/>
      <c r="K1223" s="61"/>
      <c r="L1223" s="61"/>
      <c r="M1223" s="61"/>
      <c r="N1223" s="61"/>
      <c r="O1223" s="61"/>
      <c r="P1223" s="61"/>
      <c r="Q1223" s="61"/>
      <c r="R1223" s="61"/>
      <c r="S1223" s="61"/>
      <c r="T1223" s="61"/>
      <c r="U1223" s="61"/>
      <c r="V1223" s="61"/>
      <c r="W1223" s="61"/>
      <c r="X1223" s="61"/>
      <c r="Y1223" s="61"/>
      <c r="Z1223" s="61"/>
    </row>
    <row r="1224" spans="1:26" ht="13">
      <c r="A1224" s="61"/>
      <c r="B1224" s="61"/>
      <c r="C1224" s="61"/>
      <c r="D1224" s="61"/>
      <c r="E1224" s="61"/>
      <c r="F1224" s="61"/>
      <c r="G1224" s="179"/>
      <c r="H1224" s="61"/>
      <c r="I1224" s="61"/>
      <c r="J1224" s="61"/>
      <c r="K1224" s="61"/>
      <c r="L1224" s="61"/>
      <c r="M1224" s="61"/>
      <c r="N1224" s="61"/>
      <c r="O1224" s="61"/>
      <c r="P1224" s="61"/>
      <c r="Q1224" s="61"/>
      <c r="R1224" s="61"/>
      <c r="S1224" s="61"/>
      <c r="T1224" s="61"/>
      <c r="U1224" s="61"/>
      <c r="V1224" s="61"/>
      <c r="W1224" s="61"/>
      <c r="X1224" s="61"/>
      <c r="Y1224" s="61"/>
      <c r="Z1224" s="61"/>
    </row>
    <row r="1225" spans="1:26" ht="13">
      <c r="A1225" s="61"/>
      <c r="B1225" s="61"/>
      <c r="C1225" s="61"/>
      <c r="D1225" s="61"/>
      <c r="E1225" s="61"/>
      <c r="F1225" s="61"/>
      <c r="G1225" s="179"/>
      <c r="H1225" s="61"/>
      <c r="I1225" s="61"/>
      <c r="J1225" s="61"/>
      <c r="K1225" s="61"/>
      <c r="L1225" s="61"/>
      <c r="M1225" s="61"/>
      <c r="N1225" s="61"/>
      <c r="O1225" s="61"/>
      <c r="P1225" s="61"/>
      <c r="Q1225" s="61"/>
      <c r="R1225" s="61"/>
      <c r="S1225" s="61"/>
      <c r="T1225" s="61"/>
      <c r="U1225" s="61"/>
      <c r="V1225" s="61"/>
      <c r="W1225" s="61"/>
      <c r="X1225" s="61"/>
      <c r="Y1225" s="61"/>
      <c r="Z1225" s="61"/>
    </row>
    <row r="1226" spans="1:26" ht="13">
      <c r="A1226" s="61"/>
      <c r="B1226" s="61"/>
      <c r="C1226" s="61"/>
      <c r="D1226" s="61"/>
      <c r="E1226" s="61"/>
      <c r="F1226" s="61"/>
      <c r="G1226" s="179"/>
      <c r="H1226" s="61"/>
      <c r="I1226" s="61"/>
      <c r="J1226" s="61"/>
      <c r="K1226" s="61"/>
      <c r="L1226" s="61"/>
      <c r="M1226" s="61"/>
      <c r="N1226" s="61"/>
      <c r="O1226" s="61"/>
      <c r="P1226" s="61"/>
      <c r="Q1226" s="61"/>
      <c r="R1226" s="61"/>
      <c r="S1226" s="61"/>
      <c r="T1226" s="61"/>
      <c r="U1226" s="61"/>
      <c r="V1226" s="61"/>
      <c r="W1226" s="61"/>
      <c r="X1226" s="61"/>
      <c r="Y1226" s="61"/>
      <c r="Z1226" s="61"/>
    </row>
    <row r="1227" spans="1:26" ht="13">
      <c r="A1227" s="61"/>
      <c r="B1227" s="61"/>
      <c r="C1227" s="61"/>
      <c r="D1227" s="61"/>
      <c r="E1227" s="61"/>
      <c r="F1227" s="61"/>
      <c r="G1227" s="179"/>
      <c r="H1227" s="61"/>
      <c r="I1227" s="61"/>
      <c r="J1227" s="61"/>
      <c r="K1227" s="61"/>
      <c r="L1227" s="61"/>
      <c r="M1227" s="61"/>
      <c r="N1227" s="61"/>
      <c r="O1227" s="61"/>
      <c r="P1227" s="61"/>
      <c r="Q1227" s="61"/>
      <c r="R1227" s="61"/>
      <c r="S1227" s="61"/>
      <c r="T1227" s="61"/>
      <c r="U1227" s="61"/>
      <c r="V1227" s="61"/>
      <c r="W1227" s="61"/>
      <c r="X1227" s="61"/>
      <c r="Y1227" s="61"/>
      <c r="Z1227" s="61"/>
    </row>
    <row r="1228" spans="1:26" ht="13">
      <c r="A1228" s="61"/>
      <c r="B1228" s="61"/>
      <c r="C1228" s="61"/>
      <c r="D1228" s="61"/>
      <c r="E1228" s="61"/>
      <c r="F1228" s="61"/>
      <c r="G1228" s="179"/>
      <c r="H1228" s="61"/>
      <c r="I1228" s="61"/>
      <c r="J1228" s="61"/>
      <c r="K1228" s="61"/>
      <c r="L1228" s="61"/>
      <c r="M1228" s="61"/>
      <c r="N1228" s="61"/>
      <c r="O1228" s="61"/>
      <c r="P1228" s="61"/>
      <c r="Q1228" s="61"/>
      <c r="R1228" s="61"/>
      <c r="S1228" s="61"/>
      <c r="T1228" s="61"/>
      <c r="U1228" s="61"/>
      <c r="V1228" s="61"/>
      <c r="W1228" s="61"/>
      <c r="X1228" s="61"/>
      <c r="Y1228" s="61"/>
      <c r="Z1228" s="61"/>
    </row>
    <row r="1229" spans="1:26" ht="13">
      <c r="A1229" s="61"/>
      <c r="B1229" s="61"/>
      <c r="C1229" s="61"/>
      <c r="D1229" s="61"/>
      <c r="E1229" s="61"/>
      <c r="F1229" s="61"/>
      <c r="G1229" s="179"/>
      <c r="H1229" s="61"/>
      <c r="I1229" s="61"/>
      <c r="J1229" s="61"/>
      <c r="K1229" s="61"/>
      <c r="L1229" s="61"/>
      <c r="M1229" s="61"/>
      <c r="N1229" s="61"/>
      <c r="O1229" s="61"/>
      <c r="P1229" s="61"/>
      <c r="Q1229" s="61"/>
      <c r="R1229" s="61"/>
      <c r="S1229" s="61"/>
      <c r="T1229" s="61"/>
      <c r="U1229" s="61"/>
      <c r="V1229" s="61"/>
      <c r="W1229" s="61"/>
      <c r="X1229" s="61"/>
      <c r="Y1229" s="61"/>
      <c r="Z1229" s="61"/>
    </row>
    <row r="1230" spans="1:26" ht="13">
      <c r="A1230" s="61"/>
      <c r="B1230" s="61"/>
      <c r="C1230" s="61"/>
      <c r="D1230" s="61"/>
      <c r="E1230" s="61"/>
      <c r="F1230" s="61"/>
      <c r="G1230" s="179"/>
      <c r="H1230" s="61"/>
      <c r="I1230" s="61"/>
      <c r="J1230" s="61"/>
      <c r="K1230" s="61"/>
      <c r="L1230" s="61"/>
      <c r="M1230" s="61"/>
      <c r="N1230" s="61"/>
      <c r="O1230" s="61"/>
      <c r="P1230" s="61"/>
      <c r="Q1230" s="61"/>
      <c r="R1230" s="61"/>
      <c r="S1230" s="61"/>
      <c r="T1230" s="61"/>
      <c r="U1230" s="61"/>
      <c r="V1230" s="61"/>
      <c r="W1230" s="61"/>
      <c r="X1230" s="61"/>
      <c r="Y1230" s="61"/>
      <c r="Z1230" s="61"/>
    </row>
    <row r="1231" spans="1:26" ht="13">
      <c r="A1231" s="61"/>
      <c r="B1231" s="61"/>
      <c r="C1231" s="61"/>
      <c r="D1231" s="61"/>
      <c r="E1231" s="61"/>
      <c r="F1231" s="61"/>
      <c r="G1231" s="179"/>
      <c r="H1231" s="61"/>
      <c r="I1231" s="61"/>
      <c r="J1231" s="61"/>
      <c r="K1231" s="61"/>
      <c r="L1231" s="61"/>
      <c r="M1231" s="61"/>
      <c r="N1231" s="61"/>
      <c r="O1231" s="61"/>
      <c r="P1231" s="61"/>
      <c r="Q1231" s="61"/>
      <c r="R1231" s="61"/>
      <c r="S1231" s="61"/>
      <c r="T1231" s="61"/>
      <c r="U1231" s="61"/>
      <c r="V1231" s="61"/>
      <c r="W1231" s="61"/>
      <c r="X1231" s="61"/>
      <c r="Y1231" s="61"/>
      <c r="Z1231" s="61"/>
    </row>
    <row r="1232" spans="1:26" ht="13">
      <c r="A1232" s="61"/>
      <c r="B1232" s="61"/>
      <c r="C1232" s="61"/>
      <c r="D1232" s="61"/>
      <c r="E1232" s="61"/>
      <c r="F1232" s="61"/>
      <c r="G1232" s="179"/>
      <c r="H1232" s="61"/>
      <c r="I1232" s="61"/>
      <c r="J1232" s="61"/>
      <c r="K1232" s="61"/>
      <c r="L1232" s="61"/>
      <c r="M1232" s="61"/>
      <c r="N1232" s="61"/>
      <c r="O1232" s="61"/>
      <c r="P1232" s="61"/>
      <c r="Q1232" s="61"/>
      <c r="R1232" s="61"/>
      <c r="S1232" s="61"/>
      <c r="T1232" s="61"/>
      <c r="U1232" s="61"/>
      <c r="V1232" s="61"/>
      <c r="W1232" s="61"/>
      <c r="X1232" s="61"/>
      <c r="Y1232" s="61"/>
      <c r="Z1232" s="61"/>
    </row>
    <row r="1233" spans="1:26" ht="13">
      <c r="A1233" s="61"/>
      <c r="B1233" s="61"/>
      <c r="C1233" s="61"/>
      <c r="D1233" s="61"/>
      <c r="E1233" s="61"/>
      <c r="F1233" s="61"/>
      <c r="G1233" s="179"/>
      <c r="H1233" s="61"/>
      <c r="I1233" s="61"/>
      <c r="J1233" s="61"/>
      <c r="K1233" s="61"/>
      <c r="L1233" s="61"/>
      <c r="M1233" s="61"/>
      <c r="N1233" s="61"/>
      <c r="O1233" s="61"/>
      <c r="P1233" s="61"/>
      <c r="Q1233" s="61"/>
      <c r="R1233" s="61"/>
      <c r="S1233" s="61"/>
      <c r="T1233" s="61"/>
      <c r="U1233" s="61"/>
      <c r="V1233" s="61"/>
      <c r="W1233" s="61"/>
      <c r="X1233" s="61"/>
      <c r="Y1233" s="61"/>
      <c r="Z1233" s="61"/>
    </row>
    <row r="1234" spans="1:26" ht="13">
      <c r="A1234" s="61"/>
      <c r="B1234" s="61"/>
      <c r="C1234" s="61"/>
      <c r="D1234" s="61"/>
      <c r="E1234" s="61"/>
      <c r="F1234" s="61"/>
      <c r="G1234" s="179"/>
      <c r="H1234" s="61"/>
      <c r="I1234" s="61"/>
      <c r="J1234" s="61"/>
      <c r="K1234" s="61"/>
      <c r="L1234" s="61"/>
      <c r="M1234" s="61"/>
      <c r="N1234" s="61"/>
      <c r="O1234" s="61"/>
      <c r="P1234" s="61"/>
      <c r="Q1234" s="61"/>
      <c r="R1234" s="61"/>
      <c r="S1234" s="61"/>
      <c r="T1234" s="61"/>
      <c r="U1234" s="61"/>
      <c r="V1234" s="61"/>
      <c r="W1234" s="61"/>
      <c r="X1234" s="61"/>
      <c r="Y1234" s="61"/>
      <c r="Z1234" s="61"/>
    </row>
    <row r="1235" spans="1:26" ht="13">
      <c r="A1235" s="61"/>
      <c r="B1235" s="61"/>
      <c r="C1235" s="61"/>
      <c r="D1235" s="61"/>
      <c r="E1235" s="61"/>
      <c r="F1235" s="61"/>
      <c r="G1235" s="179"/>
      <c r="H1235" s="61"/>
      <c r="I1235" s="61"/>
      <c r="J1235" s="61"/>
      <c r="K1235" s="61"/>
      <c r="L1235" s="61"/>
      <c r="M1235" s="61"/>
      <c r="N1235" s="61"/>
      <c r="O1235" s="61"/>
      <c r="P1235" s="61"/>
      <c r="Q1235" s="61"/>
      <c r="R1235" s="61"/>
      <c r="S1235" s="61"/>
      <c r="T1235" s="61"/>
      <c r="U1235" s="61"/>
      <c r="V1235" s="61"/>
      <c r="W1235" s="61"/>
      <c r="X1235" s="61"/>
      <c r="Y1235" s="61"/>
      <c r="Z1235" s="61"/>
    </row>
    <row r="1236" spans="1:26" ht="13">
      <c r="A1236" s="61"/>
      <c r="B1236" s="61"/>
      <c r="C1236" s="61"/>
      <c r="D1236" s="61"/>
      <c r="E1236" s="61"/>
      <c r="F1236" s="61"/>
      <c r="G1236" s="179"/>
      <c r="H1236" s="61"/>
      <c r="I1236" s="61"/>
      <c r="J1236" s="61"/>
      <c r="K1236" s="61"/>
      <c r="L1236" s="61"/>
      <c r="M1236" s="61"/>
      <c r="N1236" s="61"/>
      <c r="O1236" s="61"/>
      <c r="P1236" s="61"/>
      <c r="Q1236" s="61"/>
      <c r="R1236" s="61"/>
      <c r="S1236" s="61"/>
      <c r="T1236" s="61"/>
      <c r="U1236" s="61"/>
      <c r="V1236" s="61"/>
      <c r="W1236" s="61"/>
      <c r="X1236" s="61"/>
      <c r="Y1236" s="61"/>
      <c r="Z1236" s="61"/>
    </row>
    <row r="1237" spans="1:26" ht="13">
      <c r="A1237" s="61"/>
      <c r="B1237" s="61"/>
      <c r="C1237" s="61"/>
      <c r="D1237" s="61"/>
      <c r="E1237" s="61"/>
      <c r="F1237" s="61"/>
      <c r="G1237" s="179"/>
      <c r="H1237" s="61"/>
      <c r="I1237" s="61"/>
      <c r="J1237" s="61"/>
      <c r="K1237" s="61"/>
      <c r="L1237" s="61"/>
      <c r="M1237" s="61"/>
      <c r="N1237" s="61"/>
      <c r="O1237" s="61"/>
      <c r="P1237" s="61"/>
      <c r="Q1237" s="61"/>
      <c r="R1237" s="61"/>
      <c r="S1237" s="61"/>
      <c r="T1237" s="61"/>
      <c r="U1237" s="61"/>
      <c r="V1237" s="61"/>
      <c r="W1237" s="61"/>
      <c r="X1237" s="61"/>
      <c r="Y1237" s="61"/>
      <c r="Z1237" s="61"/>
    </row>
    <row r="1238" spans="1:26" ht="13">
      <c r="A1238" s="61"/>
      <c r="B1238" s="61"/>
      <c r="C1238" s="61"/>
      <c r="D1238" s="61"/>
      <c r="E1238" s="61"/>
      <c r="F1238" s="61"/>
      <c r="G1238" s="179"/>
      <c r="H1238" s="61"/>
      <c r="I1238" s="61"/>
      <c r="J1238" s="61"/>
      <c r="K1238" s="61"/>
      <c r="L1238" s="61"/>
      <c r="M1238" s="61"/>
      <c r="N1238" s="61"/>
      <c r="O1238" s="61"/>
      <c r="P1238" s="61"/>
      <c r="Q1238" s="61"/>
      <c r="R1238" s="61"/>
      <c r="S1238" s="61"/>
      <c r="T1238" s="61"/>
      <c r="U1238" s="61"/>
      <c r="V1238" s="61"/>
      <c r="W1238" s="61"/>
      <c r="X1238" s="61"/>
      <c r="Y1238" s="61"/>
      <c r="Z1238" s="61"/>
    </row>
    <row r="1239" spans="1:26" ht="13">
      <c r="A1239" s="61"/>
      <c r="B1239" s="61"/>
      <c r="C1239" s="61"/>
      <c r="D1239" s="61"/>
      <c r="E1239" s="61"/>
      <c r="F1239" s="61"/>
      <c r="G1239" s="179"/>
      <c r="H1239" s="61"/>
      <c r="I1239" s="61"/>
      <c r="J1239" s="61"/>
      <c r="K1239" s="61"/>
      <c r="L1239" s="61"/>
      <c r="M1239" s="61"/>
      <c r="N1239" s="61"/>
      <c r="O1239" s="61"/>
      <c r="P1239" s="61"/>
      <c r="Q1239" s="61"/>
      <c r="R1239" s="61"/>
      <c r="S1239" s="61"/>
      <c r="T1239" s="61"/>
      <c r="U1239" s="61"/>
      <c r="V1239" s="61"/>
      <c r="W1239" s="61"/>
      <c r="X1239" s="61"/>
      <c r="Y1239" s="61"/>
      <c r="Z1239" s="61"/>
    </row>
    <row r="1240" spans="1:26" ht="13">
      <c r="A1240" s="61"/>
      <c r="B1240" s="61"/>
      <c r="C1240" s="61"/>
      <c r="D1240" s="61"/>
      <c r="E1240" s="61"/>
      <c r="F1240" s="61"/>
      <c r="G1240" s="179"/>
      <c r="H1240" s="61"/>
      <c r="I1240" s="61"/>
      <c r="J1240" s="61"/>
      <c r="K1240" s="61"/>
      <c r="L1240" s="61"/>
      <c r="M1240" s="61"/>
      <c r="N1240" s="61"/>
      <c r="O1240" s="61"/>
      <c r="P1240" s="61"/>
      <c r="Q1240" s="61"/>
      <c r="R1240" s="61"/>
      <c r="S1240" s="61"/>
      <c r="T1240" s="61"/>
      <c r="U1240" s="61"/>
      <c r="V1240" s="61"/>
      <c r="W1240" s="61"/>
      <c r="X1240" s="61"/>
      <c r="Y1240" s="61"/>
      <c r="Z1240" s="61"/>
    </row>
    <row r="1241" spans="1:26" ht="13">
      <c r="A1241" s="61"/>
      <c r="B1241" s="61"/>
      <c r="C1241" s="61"/>
      <c r="D1241" s="61"/>
      <c r="E1241" s="61"/>
      <c r="F1241" s="61"/>
      <c r="G1241" s="179"/>
      <c r="H1241" s="61"/>
      <c r="I1241" s="61"/>
      <c r="J1241" s="61"/>
      <c r="K1241" s="61"/>
      <c r="L1241" s="61"/>
      <c r="M1241" s="61"/>
      <c r="N1241" s="61"/>
      <c r="O1241" s="61"/>
      <c r="P1241" s="61"/>
      <c r="Q1241" s="61"/>
      <c r="R1241" s="61"/>
      <c r="S1241" s="61"/>
      <c r="T1241" s="61"/>
      <c r="U1241" s="61"/>
      <c r="V1241" s="61"/>
      <c r="W1241" s="61"/>
      <c r="X1241" s="61"/>
      <c r="Y1241" s="61"/>
      <c r="Z1241" s="61"/>
    </row>
    <row r="1242" spans="1:26" ht="13">
      <c r="A1242" s="61"/>
      <c r="B1242" s="61"/>
      <c r="C1242" s="61"/>
      <c r="D1242" s="61"/>
      <c r="E1242" s="61"/>
      <c r="F1242" s="61"/>
      <c r="G1242" s="179"/>
      <c r="H1242" s="61"/>
      <c r="I1242" s="61"/>
      <c r="J1242" s="61"/>
      <c r="K1242" s="61"/>
      <c r="L1242" s="61"/>
      <c r="M1242" s="61"/>
      <c r="N1242" s="61"/>
      <c r="O1242" s="61"/>
      <c r="P1242" s="61"/>
      <c r="Q1242" s="61"/>
      <c r="R1242" s="61"/>
      <c r="S1242" s="61"/>
      <c r="T1242" s="61"/>
      <c r="U1242" s="61"/>
      <c r="V1242" s="61"/>
      <c r="W1242" s="61"/>
      <c r="X1242" s="61"/>
      <c r="Y1242" s="61"/>
      <c r="Z1242" s="61"/>
    </row>
    <row r="1243" spans="1:26" ht="13">
      <c r="A1243" s="61"/>
      <c r="B1243" s="61"/>
      <c r="C1243" s="61"/>
      <c r="D1243" s="61"/>
      <c r="E1243" s="61"/>
      <c r="F1243" s="61"/>
      <c r="G1243" s="179"/>
      <c r="H1243" s="61"/>
      <c r="I1243" s="61"/>
      <c r="J1243" s="61"/>
      <c r="K1243" s="61"/>
      <c r="L1243" s="61"/>
      <c r="M1243" s="61"/>
      <c r="N1243" s="61"/>
      <c r="O1243" s="61"/>
      <c r="P1243" s="61"/>
      <c r="Q1243" s="61"/>
      <c r="R1243" s="61"/>
      <c r="S1243" s="61"/>
      <c r="T1243" s="61"/>
      <c r="U1243" s="61"/>
      <c r="V1243" s="61"/>
      <c r="W1243" s="61"/>
      <c r="X1243" s="61"/>
      <c r="Y1243" s="61"/>
      <c r="Z1243" s="61"/>
    </row>
    <row r="1244" spans="1:26" ht="13">
      <c r="A1244" s="61"/>
      <c r="B1244" s="61"/>
      <c r="C1244" s="61"/>
      <c r="D1244" s="61"/>
      <c r="E1244" s="61"/>
      <c r="F1244" s="61"/>
      <c r="G1244" s="179"/>
      <c r="H1244" s="61"/>
      <c r="I1244" s="61"/>
      <c r="J1244" s="61"/>
      <c r="K1244" s="61"/>
      <c r="L1244" s="61"/>
      <c r="M1244" s="61"/>
      <c r="N1244" s="61"/>
      <c r="O1244" s="61"/>
      <c r="P1244" s="61"/>
      <c r="Q1244" s="61"/>
      <c r="R1244" s="61"/>
      <c r="S1244" s="61"/>
      <c r="T1244" s="61"/>
      <c r="U1244" s="61"/>
      <c r="V1244" s="61"/>
      <c r="W1244" s="61"/>
      <c r="X1244" s="61"/>
      <c r="Y1244" s="61"/>
      <c r="Z1244" s="61"/>
    </row>
    <row r="1245" spans="1:26" ht="13">
      <c r="A1245" s="61"/>
      <c r="B1245" s="61"/>
      <c r="C1245" s="61"/>
      <c r="D1245" s="61"/>
      <c r="E1245" s="61"/>
      <c r="F1245" s="61"/>
      <c r="G1245" s="179"/>
      <c r="H1245" s="61"/>
      <c r="I1245" s="61"/>
      <c r="J1245" s="61"/>
      <c r="K1245" s="61"/>
      <c r="L1245" s="61"/>
      <c r="M1245" s="61"/>
      <c r="N1245" s="61"/>
      <c r="O1245" s="61"/>
      <c r="P1245" s="61"/>
      <c r="Q1245" s="61"/>
      <c r="R1245" s="61"/>
      <c r="S1245" s="61"/>
      <c r="T1245" s="61"/>
      <c r="U1245" s="61"/>
      <c r="V1245" s="61"/>
      <c r="W1245" s="61"/>
      <c r="X1245" s="61"/>
      <c r="Y1245" s="61"/>
      <c r="Z1245" s="61"/>
    </row>
    <row r="1246" spans="1:26" ht="13">
      <c r="A1246" s="61"/>
      <c r="B1246" s="61"/>
      <c r="C1246" s="61"/>
      <c r="D1246" s="61"/>
      <c r="E1246" s="61"/>
      <c r="F1246" s="61"/>
      <c r="G1246" s="179"/>
      <c r="H1246" s="61"/>
      <c r="I1246" s="61"/>
      <c r="J1246" s="61"/>
      <c r="K1246" s="61"/>
      <c r="L1246" s="61"/>
      <c r="M1246" s="61"/>
      <c r="N1246" s="61"/>
      <c r="O1246" s="61"/>
      <c r="P1246" s="61"/>
      <c r="Q1246" s="61"/>
      <c r="R1246" s="61"/>
      <c r="S1246" s="61"/>
      <c r="T1246" s="61"/>
      <c r="U1246" s="61"/>
      <c r="V1246" s="61"/>
      <c r="W1246" s="61"/>
      <c r="X1246" s="61"/>
      <c r="Y1246" s="61"/>
      <c r="Z1246" s="61"/>
    </row>
    <row r="1247" spans="1:26" ht="13">
      <c r="A1247" s="61"/>
      <c r="B1247" s="61"/>
      <c r="C1247" s="61"/>
      <c r="D1247" s="61"/>
      <c r="E1247" s="61"/>
      <c r="F1247" s="61"/>
      <c r="G1247" s="179"/>
      <c r="H1247" s="61"/>
      <c r="I1247" s="61"/>
      <c r="J1247" s="61"/>
      <c r="K1247" s="61"/>
      <c r="L1247" s="61"/>
      <c r="M1247" s="61"/>
      <c r="N1247" s="61"/>
      <c r="O1247" s="61"/>
      <c r="P1247" s="61"/>
      <c r="Q1247" s="61"/>
      <c r="R1247" s="61"/>
      <c r="S1247" s="61"/>
      <c r="T1247" s="61"/>
      <c r="U1247" s="61"/>
      <c r="V1247" s="61"/>
      <c r="W1247" s="61"/>
      <c r="X1247" s="61"/>
      <c r="Y1247" s="61"/>
      <c r="Z1247" s="61"/>
    </row>
    <row r="1248" spans="1:26" ht="13">
      <c r="A1248" s="61"/>
      <c r="B1248" s="61"/>
      <c r="C1248" s="61"/>
      <c r="D1248" s="61"/>
      <c r="E1248" s="61"/>
      <c r="F1248" s="61"/>
      <c r="G1248" s="179"/>
      <c r="H1248" s="61"/>
      <c r="I1248" s="61"/>
      <c r="J1248" s="61"/>
      <c r="K1248" s="61"/>
      <c r="L1248" s="61"/>
      <c r="M1248" s="61"/>
      <c r="N1248" s="61"/>
      <c r="O1248" s="61"/>
      <c r="P1248" s="61"/>
      <c r="Q1248" s="61"/>
      <c r="R1248" s="61"/>
      <c r="S1248" s="61"/>
      <c r="T1248" s="61"/>
      <c r="U1248" s="61"/>
      <c r="V1248" s="61"/>
      <c r="W1248" s="61"/>
      <c r="X1248" s="61"/>
      <c r="Y1248" s="61"/>
      <c r="Z1248" s="61"/>
    </row>
    <row r="1249" spans="1:26" ht="13">
      <c r="A1249" s="61"/>
      <c r="B1249" s="61"/>
      <c r="C1249" s="61"/>
      <c r="D1249" s="61"/>
      <c r="E1249" s="61"/>
      <c r="F1249" s="61"/>
      <c r="G1249" s="179"/>
      <c r="H1249" s="61"/>
      <c r="I1249" s="61"/>
      <c r="J1249" s="61"/>
      <c r="K1249" s="61"/>
      <c r="L1249" s="61"/>
      <c r="M1249" s="61"/>
      <c r="N1249" s="61"/>
      <c r="O1249" s="61"/>
      <c r="P1249" s="61"/>
      <c r="Q1249" s="61"/>
      <c r="R1249" s="61"/>
      <c r="S1249" s="61"/>
      <c r="T1249" s="61"/>
      <c r="U1249" s="61"/>
      <c r="V1249" s="61"/>
      <c r="W1249" s="61"/>
      <c r="X1249" s="61"/>
      <c r="Y1249" s="61"/>
      <c r="Z1249" s="61"/>
    </row>
    <row r="1250" spans="1:26" ht="13">
      <c r="A1250" s="61"/>
      <c r="B1250" s="61"/>
      <c r="C1250" s="61"/>
      <c r="D1250" s="61"/>
      <c r="E1250" s="61"/>
      <c r="F1250" s="61"/>
      <c r="G1250" s="179"/>
      <c r="H1250" s="61"/>
      <c r="I1250" s="61"/>
      <c r="J1250" s="61"/>
      <c r="K1250" s="61"/>
      <c r="L1250" s="61"/>
      <c r="M1250" s="61"/>
      <c r="N1250" s="61"/>
      <c r="O1250" s="61"/>
      <c r="P1250" s="61"/>
      <c r="Q1250" s="61"/>
      <c r="R1250" s="61"/>
      <c r="S1250" s="61"/>
      <c r="T1250" s="61"/>
      <c r="U1250" s="61"/>
      <c r="V1250" s="61"/>
      <c r="W1250" s="61"/>
      <c r="X1250" s="61"/>
      <c r="Y1250" s="61"/>
      <c r="Z1250" s="61"/>
    </row>
    <row r="1251" spans="1:26" ht="13">
      <c r="A1251" s="61"/>
      <c r="B1251" s="61"/>
      <c r="C1251" s="61"/>
      <c r="D1251" s="61"/>
      <c r="E1251" s="61"/>
      <c r="F1251" s="61"/>
      <c r="G1251" s="179"/>
      <c r="H1251" s="61"/>
      <c r="I1251" s="61"/>
      <c r="J1251" s="61"/>
      <c r="K1251" s="61"/>
      <c r="L1251" s="61"/>
      <c r="M1251" s="61"/>
      <c r="N1251" s="61"/>
      <c r="O1251" s="61"/>
      <c r="P1251" s="61"/>
      <c r="Q1251" s="61"/>
      <c r="R1251" s="61"/>
      <c r="S1251" s="61"/>
      <c r="T1251" s="61"/>
      <c r="U1251" s="61"/>
      <c r="V1251" s="61"/>
      <c r="W1251" s="61"/>
      <c r="X1251" s="61"/>
      <c r="Y1251" s="61"/>
      <c r="Z1251" s="61"/>
    </row>
    <row r="1252" spans="1:26" ht="13">
      <c r="A1252" s="61"/>
      <c r="B1252" s="61"/>
      <c r="C1252" s="61"/>
      <c r="D1252" s="61"/>
      <c r="E1252" s="61"/>
      <c r="F1252" s="61"/>
      <c r="G1252" s="179"/>
      <c r="H1252" s="61"/>
      <c r="I1252" s="61"/>
      <c r="J1252" s="61"/>
      <c r="K1252" s="61"/>
      <c r="L1252" s="61"/>
      <c r="M1252" s="61"/>
      <c r="N1252" s="61"/>
      <c r="O1252" s="61"/>
      <c r="P1252" s="61"/>
      <c r="Q1252" s="61"/>
      <c r="R1252" s="61"/>
      <c r="S1252" s="61"/>
      <c r="T1252" s="61"/>
      <c r="U1252" s="61"/>
      <c r="V1252" s="61"/>
      <c r="W1252" s="61"/>
      <c r="X1252" s="61"/>
      <c r="Y1252" s="61"/>
      <c r="Z1252" s="61"/>
    </row>
    <row r="1253" spans="1:26" ht="13">
      <c r="A1253" s="61"/>
      <c r="B1253" s="61"/>
      <c r="C1253" s="61"/>
      <c r="D1253" s="61"/>
      <c r="E1253" s="61"/>
      <c r="F1253" s="61"/>
      <c r="G1253" s="179"/>
      <c r="H1253" s="61"/>
      <c r="I1253" s="61"/>
      <c r="J1253" s="61"/>
      <c r="K1253" s="61"/>
      <c r="L1253" s="61"/>
      <c r="M1253" s="61"/>
      <c r="N1253" s="61"/>
      <c r="O1253" s="61"/>
      <c r="P1253" s="61"/>
      <c r="Q1253" s="61"/>
      <c r="R1253" s="61"/>
      <c r="S1253" s="61"/>
      <c r="T1253" s="61"/>
      <c r="U1253" s="61"/>
      <c r="V1253" s="61"/>
      <c r="W1253" s="61"/>
      <c r="X1253" s="61"/>
      <c r="Y1253" s="61"/>
      <c r="Z1253" s="61"/>
    </row>
    <row r="1254" spans="1:26" ht="13">
      <c r="A1254" s="61"/>
      <c r="B1254" s="61"/>
      <c r="C1254" s="61"/>
      <c r="D1254" s="61"/>
      <c r="E1254" s="61"/>
      <c r="F1254" s="61"/>
      <c r="G1254" s="179"/>
      <c r="H1254" s="61"/>
      <c r="I1254" s="61"/>
      <c r="J1254" s="61"/>
      <c r="K1254" s="61"/>
      <c r="L1254" s="61"/>
      <c r="M1254" s="61"/>
      <c r="N1254" s="61"/>
      <c r="O1254" s="61"/>
      <c r="P1254" s="61"/>
      <c r="Q1254" s="61"/>
      <c r="R1254" s="61"/>
      <c r="S1254" s="61"/>
      <c r="T1254" s="61"/>
      <c r="U1254" s="61"/>
      <c r="V1254" s="61"/>
      <c r="W1254" s="61"/>
      <c r="X1254" s="61"/>
      <c r="Y1254" s="61"/>
      <c r="Z1254" s="61"/>
    </row>
    <row r="1255" spans="1:26" ht="13">
      <c r="A1255" s="61"/>
      <c r="B1255" s="61"/>
      <c r="C1255" s="61"/>
      <c r="D1255" s="61"/>
      <c r="E1255" s="61"/>
      <c r="F1255" s="61"/>
      <c r="G1255" s="179"/>
      <c r="H1255" s="61"/>
      <c r="I1255" s="61"/>
      <c r="J1255" s="61"/>
      <c r="K1255" s="61"/>
      <c r="L1255" s="61"/>
      <c r="M1255" s="61"/>
      <c r="N1255" s="61"/>
      <c r="O1255" s="61"/>
      <c r="P1255" s="61"/>
      <c r="Q1255" s="61"/>
      <c r="R1255" s="61"/>
      <c r="S1255" s="61"/>
      <c r="T1255" s="61"/>
      <c r="U1255" s="61"/>
      <c r="V1255" s="61"/>
      <c r="W1255" s="61"/>
      <c r="X1255" s="61"/>
      <c r="Y1255" s="61"/>
      <c r="Z1255" s="61"/>
    </row>
    <row r="1256" spans="1:26" ht="13">
      <c r="A1256" s="61"/>
      <c r="B1256" s="61"/>
      <c r="C1256" s="61"/>
      <c r="D1256" s="61"/>
      <c r="E1256" s="61"/>
      <c r="F1256" s="61"/>
      <c r="G1256" s="179"/>
      <c r="H1256" s="61"/>
      <c r="I1256" s="61"/>
      <c r="J1256" s="61"/>
      <c r="K1256" s="61"/>
      <c r="L1256" s="61"/>
      <c r="M1256" s="61"/>
      <c r="N1256" s="61"/>
      <c r="O1256" s="61"/>
      <c r="P1256" s="61"/>
      <c r="Q1256" s="61"/>
      <c r="R1256" s="61"/>
      <c r="S1256" s="61"/>
      <c r="T1256" s="61"/>
      <c r="U1256" s="61"/>
      <c r="V1256" s="61"/>
      <c r="W1256" s="61"/>
      <c r="X1256" s="61"/>
      <c r="Y1256" s="61"/>
      <c r="Z1256" s="61"/>
    </row>
    <row r="1257" spans="1:26" ht="13">
      <c r="A1257" s="61"/>
      <c r="B1257" s="61"/>
      <c r="C1257" s="61"/>
      <c r="D1257" s="61"/>
      <c r="E1257" s="61"/>
      <c r="F1257" s="61"/>
      <c r="G1257" s="179"/>
      <c r="H1257" s="61"/>
      <c r="I1257" s="61"/>
      <c r="J1257" s="61"/>
      <c r="K1257" s="61"/>
      <c r="L1257" s="61"/>
      <c r="M1257" s="61"/>
      <c r="N1257" s="61"/>
      <c r="O1257" s="61"/>
      <c r="P1257" s="61"/>
      <c r="Q1257" s="61"/>
      <c r="R1257" s="61"/>
      <c r="S1257" s="61"/>
      <c r="T1257" s="61"/>
      <c r="U1257" s="61"/>
      <c r="V1257" s="61"/>
      <c r="W1257" s="61"/>
      <c r="X1257" s="61"/>
      <c r="Y1257" s="61"/>
      <c r="Z1257" s="61"/>
    </row>
    <row r="1258" spans="1:26" ht="13">
      <c r="A1258" s="61"/>
      <c r="B1258" s="61"/>
      <c r="C1258" s="61"/>
      <c r="D1258" s="61"/>
      <c r="E1258" s="61"/>
      <c r="F1258" s="61"/>
      <c r="G1258" s="179"/>
      <c r="H1258" s="61"/>
      <c r="I1258" s="61"/>
      <c r="J1258" s="61"/>
      <c r="K1258" s="61"/>
      <c r="L1258" s="61"/>
      <c r="M1258" s="61"/>
      <c r="N1258" s="61"/>
      <c r="O1258" s="61"/>
      <c r="P1258" s="61"/>
      <c r="Q1258" s="61"/>
      <c r="R1258" s="61"/>
      <c r="S1258" s="61"/>
      <c r="T1258" s="61"/>
      <c r="U1258" s="61"/>
      <c r="V1258" s="61"/>
      <c r="W1258" s="61"/>
      <c r="X1258" s="61"/>
      <c r="Y1258" s="61"/>
      <c r="Z1258" s="61"/>
    </row>
    <row r="1259" spans="1:26" ht="13">
      <c r="A1259" s="61"/>
      <c r="B1259" s="61"/>
      <c r="C1259" s="61"/>
      <c r="D1259" s="61"/>
      <c r="E1259" s="61"/>
      <c r="F1259" s="61"/>
      <c r="G1259" s="179"/>
      <c r="H1259" s="61"/>
      <c r="I1259" s="61"/>
      <c r="J1259" s="61"/>
      <c r="K1259" s="61"/>
      <c r="L1259" s="61"/>
      <c r="M1259" s="61"/>
      <c r="N1259" s="61"/>
      <c r="O1259" s="61"/>
      <c r="P1259" s="61"/>
      <c r="Q1259" s="61"/>
      <c r="R1259" s="61"/>
      <c r="S1259" s="61"/>
      <c r="T1259" s="61"/>
      <c r="U1259" s="61"/>
      <c r="V1259" s="61"/>
      <c r="W1259" s="61"/>
      <c r="X1259" s="61"/>
      <c r="Y1259" s="61"/>
      <c r="Z1259" s="61"/>
    </row>
    <row r="1260" spans="1:26" ht="13">
      <c r="A1260" s="61"/>
      <c r="B1260" s="61"/>
      <c r="C1260" s="61"/>
      <c r="D1260" s="61"/>
      <c r="E1260" s="61"/>
      <c r="F1260" s="61"/>
      <c r="G1260" s="179"/>
      <c r="H1260" s="61"/>
      <c r="I1260" s="61"/>
      <c r="J1260" s="61"/>
      <c r="K1260" s="61"/>
      <c r="L1260" s="61"/>
      <c r="M1260" s="61"/>
      <c r="N1260" s="61"/>
      <c r="O1260" s="61"/>
      <c r="P1260" s="61"/>
      <c r="Q1260" s="61"/>
      <c r="R1260" s="61"/>
      <c r="S1260" s="61"/>
      <c r="T1260" s="61"/>
      <c r="U1260" s="61"/>
      <c r="V1260" s="61"/>
      <c r="W1260" s="61"/>
      <c r="X1260" s="61"/>
      <c r="Y1260" s="61"/>
      <c r="Z1260" s="61"/>
    </row>
    <row r="1261" spans="1:26" ht="13">
      <c r="A1261" s="61"/>
      <c r="B1261" s="61"/>
      <c r="C1261" s="61"/>
      <c r="D1261" s="61"/>
      <c r="E1261" s="61"/>
      <c r="F1261" s="61"/>
      <c r="G1261" s="179"/>
      <c r="H1261" s="61"/>
      <c r="I1261" s="61"/>
      <c r="J1261" s="61"/>
      <c r="K1261" s="61"/>
      <c r="L1261" s="61"/>
      <c r="M1261" s="61"/>
      <c r="N1261" s="61"/>
      <c r="O1261" s="61"/>
      <c r="P1261" s="61"/>
      <c r="Q1261" s="61"/>
      <c r="R1261" s="61"/>
      <c r="S1261" s="61"/>
      <c r="T1261" s="61"/>
      <c r="U1261" s="61"/>
      <c r="V1261" s="61"/>
      <c r="W1261" s="61"/>
      <c r="X1261" s="61"/>
      <c r="Y1261" s="61"/>
      <c r="Z1261" s="61"/>
    </row>
    <row r="1262" spans="1:26" ht="13">
      <c r="A1262" s="61"/>
      <c r="B1262" s="61"/>
      <c r="C1262" s="61"/>
      <c r="D1262" s="61"/>
      <c r="E1262" s="61"/>
      <c r="F1262" s="61"/>
      <c r="G1262" s="179"/>
      <c r="H1262" s="61"/>
      <c r="I1262" s="61"/>
      <c r="J1262" s="61"/>
      <c r="K1262" s="61"/>
      <c r="L1262" s="61"/>
      <c r="M1262" s="61"/>
      <c r="N1262" s="61"/>
      <c r="O1262" s="61"/>
      <c r="P1262" s="61"/>
      <c r="Q1262" s="61"/>
      <c r="R1262" s="61"/>
      <c r="S1262" s="61"/>
      <c r="T1262" s="61"/>
      <c r="U1262" s="61"/>
      <c r="V1262" s="61"/>
      <c r="W1262" s="61"/>
      <c r="X1262" s="61"/>
      <c r="Y1262" s="61"/>
      <c r="Z1262" s="61"/>
    </row>
    <row r="1263" spans="1:26" ht="13">
      <c r="A1263" s="61"/>
      <c r="B1263" s="61"/>
      <c r="C1263" s="61"/>
      <c r="D1263" s="61"/>
      <c r="E1263" s="61"/>
      <c r="F1263" s="61"/>
      <c r="G1263" s="179"/>
      <c r="H1263" s="61"/>
      <c r="I1263" s="61"/>
      <c r="J1263" s="61"/>
      <c r="K1263" s="61"/>
      <c r="L1263" s="61"/>
      <c r="M1263" s="61"/>
      <c r="N1263" s="61"/>
      <c r="O1263" s="61"/>
      <c r="P1263" s="61"/>
      <c r="Q1263" s="61"/>
      <c r="R1263" s="61"/>
      <c r="S1263" s="61"/>
      <c r="T1263" s="61"/>
      <c r="U1263" s="61"/>
      <c r="V1263" s="61"/>
      <c r="W1263" s="61"/>
      <c r="X1263" s="61"/>
      <c r="Y1263" s="61"/>
      <c r="Z1263" s="61"/>
    </row>
    <row r="1264" spans="1:26" ht="13">
      <c r="A1264" s="61"/>
      <c r="B1264" s="61"/>
      <c r="C1264" s="61"/>
      <c r="D1264" s="61"/>
      <c r="E1264" s="61"/>
      <c r="F1264" s="61"/>
      <c r="G1264" s="179"/>
      <c r="H1264" s="61"/>
      <c r="I1264" s="61"/>
      <c r="J1264" s="61"/>
      <c r="K1264" s="61"/>
      <c r="L1264" s="61"/>
      <c r="M1264" s="61"/>
      <c r="N1264" s="61"/>
      <c r="O1264" s="61"/>
      <c r="P1264" s="61"/>
      <c r="Q1264" s="61"/>
      <c r="R1264" s="61"/>
      <c r="S1264" s="61"/>
      <c r="T1264" s="61"/>
      <c r="U1264" s="61"/>
      <c r="V1264" s="61"/>
      <c r="W1264" s="61"/>
      <c r="X1264" s="61"/>
      <c r="Y1264" s="61"/>
      <c r="Z1264" s="61"/>
    </row>
    <row r="1265" spans="1:26" ht="13">
      <c r="A1265" s="61"/>
      <c r="B1265" s="61"/>
      <c r="C1265" s="61"/>
      <c r="D1265" s="61"/>
      <c r="E1265" s="61"/>
      <c r="F1265" s="61"/>
      <c r="G1265" s="179"/>
      <c r="H1265" s="61"/>
      <c r="I1265" s="61"/>
      <c r="J1265" s="61"/>
      <c r="K1265" s="61"/>
      <c r="L1265" s="61"/>
      <c r="M1265" s="61"/>
      <c r="N1265" s="61"/>
      <c r="O1265" s="61"/>
      <c r="P1265" s="61"/>
      <c r="Q1265" s="61"/>
      <c r="R1265" s="61"/>
      <c r="S1265" s="61"/>
      <c r="T1265" s="61"/>
      <c r="U1265" s="61"/>
      <c r="V1265" s="61"/>
      <c r="W1265" s="61"/>
      <c r="X1265" s="61"/>
      <c r="Y1265" s="61"/>
      <c r="Z1265" s="61"/>
    </row>
    <row r="1266" spans="1:26" ht="13">
      <c r="A1266" s="61"/>
      <c r="B1266" s="61"/>
      <c r="C1266" s="61"/>
      <c r="D1266" s="61"/>
      <c r="E1266" s="61"/>
      <c r="F1266" s="61"/>
      <c r="G1266" s="179"/>
      <c r="H1266" s="61"/>
      <c r="I1266" s="61"/>
      <c r="J1266" s="61"/>
      <c r="K1266" s="61"/>
      <c r="L1266" s="61"/>
      <c r="M1266" s="61"/>
      <c r="N1266" s="61"/>
      <c r="O1266" s="61"/>
      <c r="P1266" s="61"/>
      <c r="Q1266" s="61"/>
      <c r="R1266" s="61"/>
      <c r="S1266" s="61"/>
      <c r="T1266" s="61"/>
      <c r="U1266" s="61"/>
      <c r="V1266" s="61"/>
      <c r="W1266" s="61"/>
      <c r="X1266" s="61"/>
      <c r="Y1266" s="61"/>
      <c r="Z1266" s="61"/>
    </row>
    <row r="1267" spans="1:26" ht="13">
      <c r="A1267" s="61"/>
      <c r="B1267" s="61"/>
      <c r="C1267" s="61"/>
      <c r="D1267" s="61"/>
      <c r="E1267" s="61"/>
      <c r="F1267" s="61"/>
      <c r="G1267" s="179"/>
      <c r="H1267" s="61"/>
      <c r="I1267" s="61"/>
      <c r="J1267" s="61"/>
      <c r="K1267" s="61"/>
      <c r="L1267" s="61"/>
      <c r="M1267" s="61"/>
      <c r="N1267" s="61"/>
      <c r="O1267" s="61"/>
      <c r="P1267" s="61"/>
      <c r="Q1267" s="61"/>
      <c r="R1267" s="61"/>
      <c r="S1267" s="61"/>
      <c r="T1267" s="61"/>
      <c r="U1267" s="61"/>
      <c r="V1267" s="61"/>
      <c r="W1267" s="61"/>
      <c r="X1267" s="61"/>
      <c r="Y1267" s="61"/>
      <c r="Z1267" s="61"/>
    </row>
    <row r="1268" spans="1:26" ht="13">
      <c r="A1268" s="61"/>
      <c r="B1268" s="61"/>
      <c r="C1268" s="61"/>
      <c r="D1268" s="61"/>
      <c r="E1268" s="61"/>
      <c r="F1268" s="61"/>
      <c r="G1268" s="179"/>
      <c r="H1268" s="61"/>
      <c r="I1268" s="61"/>
      <c r="J1268" s="61"/>
      <c r="K1268" s="61"/>
      <c r="L1268" s="61"/>
      <c r="M1268" s="61"/>
      <c r="N1268" s="61"/>
      <c r="O1268" s="61"/>
      <c r="P1268" s="61"/>
      <c r="Q1268" s="61"/>
      <c r="R1268" s="61"/>
      <c r="S1268" s="61"/>
      <c r="T1268" s="61"/>
      <c r="U1268" s="61"/>
      <c r="V1268" s="61"/>
      <c r="W1268" s="61"/>
      <c r="X1268" s="61"/>
      <c r="Y1268" s="61"/>
      <c r="Z1268" s="61"/>
    </row>
    <row r="1269" spans="1:26" ht="13">
      <c r="A1269" s="61"/>
      <c r="B1269" s="61"/>
      <c r="C1269" s="61"/>
      <c r="D1269" s="61"/>
      <c r="E1269" s="61"/>
      <c r="F1269" s="61"/>
      <c r="G1269" s="179"/>
      <c r="H1269" s="61"/>
      <c r="I1269" s="61"/>
      <c r="J1269" s="61"/>
      <c r="K1269" s="61"/>
      <c r="L1269" s="61"/>
      <c r="M1269" s="61"/>
      <c r="N1269" s="61"/>
      <c r="O1269" s="61"/>
      <c r="P1269" s="61"/>
      <c r="Q1269" s="61"/>
      <c r="R1269" s="61"/>
      <c r="S1269" s="61"/>
      <c r="T1269" s="61"/>
      <c r="U1269" s="61"/>
      <c r="V1269" s="61"/>
      <c r="W1269" s="61"/>
      <c r="X1269" s="61"/>
      <c r="Y1269" s="61"/>
      <c r="Z1269" s="61"/>
    </row>
    <row r="1270" spans="1:26" ht="13">
      <c r="A1270" s="61"/>
      <c r="B1270" s="61"/>
      <c r="C1270" s="61"/>
      <c r="D1270" s="61"/>
      <c r="E1270" s="61"/>
      <c r="F1270" s="61"/>
      <c r="G1270" s="179"/>
      <c r="H1270" s="61"/>
      <c r="I1270" s="61"/>
      <c r="J1270" s="61"/>
      <c r="K1270" s="61"/>
      <c r="L1270" s="61"/>
      <c r="M1270" s="61"/>
      <c r="N1270" s="61"/>
      <c r="O1270" s="61"/>
      <c r="P1270" s="61"/>
      <c r="Q1270" s="61"/>
      <c r="R1270" s="61"/>
      <c r="S1270" s="61"/>
      <c r="T1270" s="61"/>
      <c r="U1270" s="61"/>
      <c r="V1270" s="61"/>
      <c r="W1270" s="61"/>
      <c r="X1270" s="61"/>
      <c r="Y1270" s="61"/>
      <c r="Z1270" s="61"/>
    </row>
    <row r="1271" spans="1:26" ht="13">
      <c r="A1271" s="61"/>
      <c r="B1271" s="61"/>
      <c r="C1271" s="61"/>
      <c r="D1271" s="61"/>
      <c r="E1271" s="61"/>
      <c r="F1271" s="61"/>
      <c r="G1271" s="179"/>
      <c r="H1271" s="61"/>
      <c r="I1271" s="61"/>
      <c r="J1271" s="61"/>
      <c r="K1271" s="61"/>
      <c r="L1271" s="61"/>
      <c r="M1271" s="61"/>
      <c r="N1271" s="61"/>
      <c r="O1271" s="61"/>
      <c r="P1271" s="61"/>
      <c r="Q1271" s="61"/>
      <c r="R1271" s="61"/>
      <c r="S1271" s="61"/>
      <c r="T1271" s="61"/>
      <c r="U1271" s="61"/>
      <c r="V1271" s="61"/>
      <c r="W1271" s="61"/>
      <c r="X1271" s="61"/>
      <c r="Y1271" s="61"/>
      <c r="Z1271" s="61"/>
    </row>
    <row r="1272" spans="1:26" ht="13">
      <c r="A1272" s="61"/>
      <c r="B1272" s="61"/>
      <c r="C1272" s="61"/>
      <c r="D1272" s="61"/>
      <c r="E1272" s="61"/>
      <c r="F1272" s="61"/>
      <c r="G1272" s="179"/>
      <c r="H1272" s="61"/>
      <c r="I1272" s="61"/>
      <c r="J1272" s="61"/>
      <c r="K1272" s="61"/>
      <c r="L1272" s="61"/>
      <c r="M1272" s="61"/>
      <c r="N1272" s="61"/>
      <c r="O1272" s="61"/>
      <c r="P1272" s="61"/>
      <c r="Q1272" s="61"/>
      <c r="R1272" s="61"/>
      <c r="S1272" s="61"/>
      <c r="T1272" s="61"/>
      <c r="U1272" s="61"/>
      <c r="V1272" s="61"/>
      <c r="W1272" s="61"/>
      <c r="X1272" s="61"/>
      <c r="Y1272" s="61"/>
      <c r="Z1272" s="61"/>
    </row>
    <row r="1273" spans="1:26" ht="13">
      <c r="A1273" s="61"/>
      <c r="B1273" s="61"/>
      <c r="C1273" s="61"/>
      <c r="D1273" s="61"/>
      <c r="E1273" s="61"/>
      <c r="F1273" s="61"/>
      <c r="G1273" s="179"/>
      <c r="H1273" s="61"/>
      <c r="I1273" s="61"/>
      <c r="J1273" s="61"/>
      <c r="K1273" s="61"/>
      <c r="L1273" s="61"/>
      <c r="M1273" s="61"/>
      <c r="N1273" s="61"/>
      <c r="O1273" s="61"/>
      <c r="P1273" s="61"/>
      <c r="Q1273" s="61"/>
      <c r="R1273" s="61"/>
      <c r="S1273" s="61"/>
      <c r="T1273" s="61"/>
      <c r="U1273" s="61"/>
      <c r="V1273" s="61"/>
      <c r="W1273" s="61"/>
      <c r="X1273" s="61"/>
      <c r="Y1273" s="61"/>
      <c r="Z1273" s="61"/>
    </row>
    <row r="1274" spans="1:26" ht="13">
      <c r="A1274" s="61"/>
      <c r="B1274" s="61"/>
      <c r="C1274" s="61"/>
      <c r="D1274" s="61"/>
      <c r="E1274" s="61"/>
      <c r="F1274" s="61"/>
      <c r="G1274" s="179"/>
      <c r="H1274" s="61"/>
      <c r="I1274" s="61"/>
      <c r="J1274" s="61"/>
      <c r="K1274" s="61"/>
      <c r="L1274" s="61"/>
      <c r="M1274" s="61"/>
      <c r="N1274" s="61"/>
      <c r="O1274" s="61"/>
      <c r="P1274" s="61"/>
      <c r="Q1274" s="61"/>
      <c r="R1274" s="61"/>
      <c r="S1274" s="61"/>
      <c r="T1274" s="61"/>
      <c r="U1274" s="61"/>
      <c r="V1274" s="61"/>
      <c r="W1274" s="61"/>
      <c r="X1274" s="61"/>
      <c r="Y1274" s="61"/>
      <c r="Z1274" s="61"/>
    </row>
    <row r="1275" spans="1:26" ht="13">
      <c r="A1275" s="61"/>
      <c r="B1275" s="61"/>
      <c r="C1275" s="61"/>
      <c r="D1275" s="61"/>
      <c r="E1275" s="61"/>
      <c r="F1275" s="61"/>
      <c r="G1275" s="179"/>
      <c r="H1275" s="61"/>
      <c r="I1275" s="61"/>
      <c r="J1275" s="61"/>
      <c r="K1275" s="61"/>
      <c r="L1275" s="61"/>
      <c r="M1275" s="61"/>
      <c r="N1275" s="61"/>
      <c r="O1275" s="61"/>
      <c r="P1275" s="61"/>
      <c r="Q1275" s="61"/>
      <c r="R1275" s="61"/>
      <c r="S1275" s="61"/>
      <c r="T1275" s="61"/>
      <c r="U1275" s="61"/>
      <c r="V1275" s="61"/>
      <c r="W1275" s="61"/>
      <c r="X1275" s="61"/>
      <c r="Y1275" s="61"/>
      <c r="Z1275" s="61"/>
    </row>
    <row r="1276" spans="1:26" ht="13">
      <c r="A1276" s="61"/>
      <c r="B1276" s="61"/>
      <c r="C1276" s="61"/>
      <c r="D1276" s="61"/>
      <c r="E1276" s="61"/>
      <c r="F1276" s="61"/>
      <c r="G1276" s="179"/>
      <c r="H1276" s="61"/>
      <c r="I1276" s="61"/>
      <c r="J1276" s="61"/>
      <c r="K1276" s="61"/>
      <c r="L1276" s="61"/>
      <c r="M1276" s="61"/>
      <c r="N1276" s="61"/>
      <c r="O1276" s="61"/>
      <c r="P1276" s="61"/>
      <c r="Q1276" s="61"/>
      <c r="R1276" s="61"/>
      <c r="S1276" s="61"/>
      <c r="T1276" s="61"/>
      <c r="U1276" s="61"/>
      <c r="V1276" s="61"/>
      <c r="W1276" s="61"/>
      <c r="X1276" s="61"/>
      <c r="Y1276" s="61"/>
      <c r="Z1276" s="61"/>
    </row>
    <row r="1277" spans="1:26" ht="13">
      <c r="A1277" s="61"/>
      <c r="B1277" s="61"/>
      <c r="C1277" s="61"/>
      <c r="D1277" s="61"/>
      <c r="E1277" s="61"/>
      <c r="F1277" s="61"/>
      <c r="G1277" s="179"/>
      <c r="H1277" s="61"/>
      <c r="I1277" s="61"/>
      <c r="J1277" s="61"/>
      <c r="K1277" s="61"/>
      <c r="L1277" s="61"/>
      <c r="M1277" s="61"/>
      <c r="N1277" s="61"/>
      <c r="O1277" s="61"/>
      <c r="P1277" s="61"/>
      <c r="Q1277" s="61"/>
      <c r="R1277" s="61"/>
      <c r="S1277" s="61"/>
      <c r="T1277" s="61"/>
      <c r="U1277" s="61"/>
      <c r="V1277" s="61"/>
      <c r="W1277" s="61"/>
      <c r="X1277" s="61"/>
      <c r="Y1277" s="61"/>
      <c r="Z1277" s="61"/>
    </row>
    <row r="1278" spans="1:26" ht="13">
      <c r="A1278" s="61"/>
      <c r="B1278" s="61"/>
      <c r="C1278" s="61"/>
      <c r="D1278" s="61"/>
      <c r="E1278" s="61"/>
      <c r="F1278" s="61"/>
      <c r="G1278" s="179"/>
      <c r="H1278" s="61"/>
      <c r="I1278" s="61"/>
      <c r="J1278" s="61"/>
      <c r="K1278" s="61"/>
      <c r="L1278" s="61"/>
      <c r="M1278" s="61"/>
      <c r="N1278" s="61"/>
      <c r="O1278" s="61"/>
      <c r="P1278" s="61"/>
      <c r="Q1278" s="61"/>
      <c r="R1278" s="61"/>
      <c r="S1278" s="61"/>
      <c r="T1278" s="61"/>
      <c r="U1278" s="61"/>
      <c r="V1278" s="61"/>
      <c r="W1278" s="61"/>
      <c r="X1278" s="61"/>
      <c r="Y1278" s="61"/>
      <c r="Z1278" s="61"/>
    </row>
    <row r="1279" spans="1:26" ht="13">
      <c r="A1279" s="61"/>
      <c r="B1279" s="61"/>
      <c r="C1279" s="61"/>
      <c r="D1279" s="61"/>
      <c r="E1279" s="61"/>
      <c r="F1279" s="61"/>
      <c r="G1279" s="179"/>
      <c r="H1279" s="61"/>
      <c r="I1279" s="61"/>
      <c r="J1279" s="61"/>
      <c r="K1279" s="61"/>
      <c r="L1279" s="61"/>
      <c r="M1279" s="61"/>
      <c r="N1279" s="61"/>
      <c r="O1279" s="61"/>
      <c r="P1279" s="61"/>
      <c r="Q1279" s="61"/>
      <c r="R1279" s="61"/>
      <c r="S1279" s="61"/>
      <c r="T1279" s="61"/>
      <c r="U1279" s="61"/>
      <c r="V1279" s="61"/>
      <c r="W1279" s="61"/>
      <c r="X1279" s="61"/>
      <c r="Y1279" s="61"/>
      <c r="Z1279" s="61"/>
    </row>
    <row r="1280" spans="1:26" ht="13">
      <c r="A1280" s="61"/>
      <c r="B1280" s="61"/>
      <c r="C1280" s="61"/>
      <c r="D1280" s="61"/>
      <c r="E1280" s="61"/>
      <c r="F1280" s="61"/>
      <c r="G1280" s="179"/>
      <c r="H1280" s="61"/>
      <c r="I1280" s="61"/>
      <c r="J1280" s="61"/>
      <c r="K1280" s="61"/>
      <c r="L1280" s="61"/>
      <c r="M1280" s="61"/>
      <c r="N1280" s="61"/>
      <c r="O1280" s="61"/>
      <c r="P1280" s="61"/>
      <c r="Q1280" s="61"/>
      <c r="R1280" s="61"/>
      <c r="S1280" s="61"/>
      <c r="T1280" s="61"/>
      <c r="U1280" s="61"/>
      <c r="V1280" s="61"/>
      <c r="W1280" s="61"/>
      <c r="X1280" s="61"/>
      <c r="Y1280" s="61"/>
      <c r="Z1280" s="61"/>
    </row>
    <row r="1281" spans="1:26" ht="13">
      <c r="A1281" s="61"/>
      <c r="B1281" s="61"/>
      <c r="C1281" s="61"/>
      <c r="D1281" s="61"/>
      <c r="E1281" s="61"/>
      <c r="F1281" s="61"/>
      <c r="G1281" s="179"/>
      <c r="H1281" s="61"/>
      <c r="I1281" s="61"/>
      <c r="J1281" s="61"/>
      <c r="K1281" s="61"/>
      <c r="L1281" s="61"/>
      <c r="M1281" s="61"/>
      <c r="N1281" s="61"/>
      <c r="O1281" s="61"/>
      <c r="P1281" s="61"/>
      <c r="Q1281" s="61"/>
      <c r="R1281" s="61"/>
      <c r="S1281" s="61"/>
      <c r="T1281" s="61"/>
      <c r="U1281" s="61"/>
      <c r="V1281" s="61"/>
      <c r="W1281" s="61"/>
      <c r="X1281" s="61"/>
      <c r="Y1281" s="61"/>
      <c r="Z1281" s="61"/>
    </row>
    <row r="1282" spans="1:26" ht="13">
      <c r="A1282" s="61"/>
      <c r="B1282" s="61"/>
      <c r="C1282" s="61"/>
      <c r="D1282" s="61"/>
      <c r="E1282" s="61"/>
      <c r="F1282" s="61"/>
      <c r="G1282" s="179"/>
      <c r="H1282" s="61"/>
      <c r="I1282" s="61"/>
      <c r="J1282" s="61"/>
      <c r="K1282" s="61"/>
      <c r="L1282" s="61"/>
      <c r="M1282" s="61"/>
      <c r="N1282" s="61"/>
      <c r="O1282" s="61"/>
      <c r="P1282" s="61"/>
      <c r="Q1282" s="61"/>
      <c r="R1282" s="61"/>
      <c r="S1282" s="61"/>
      <c r="T1282" s="61"/>
      <c r="U1282" s="61"/>
      <c r="V1282" s="61"/>
      <c r="W1282" s="61"/>
      <c r="X1282" s="61"/>
      <c r="Y1282" s="61"/>
      <c r="Z1282" s="61"/>
    </row>
    <row r="1283" spans="1:26" ht="13">
      <c r="A1283" s="61"/>
      <c r="B1283" s="61"/>
      <c r="C1283" s="61"/>
      <c r="D1283" s="61"/>
      <c r="E1283" s="61"/>
      <c r="F1283" s="61"/>
      <c r="G1283" s="179"/>
      <c r="H1283" s="61"/>
      <c r="I1283" s="61"/>
      <c r="J1283" s="61"/>
      <c r="K1283" s="61"/>
      <c r="L1283" s="61"/>
      <c r="M1283" s="61"/>
      <c r="N1283" s="61"/>
      <c r="O1283" s="61"/>
      <c r="P1283" s="61"/>
      <c r="Q1283" s="61"/>
      <c r="R1283" s="61"/>
      <c r="S1283" s="61"/>
      <c r="T1283" s="61"/>
      <c r="U1283" s="61"/>
      <c r="V1283" s="61"/>
      <c r="W1283" s="61"/>
      <c r="X1283" s="61"/>
      <c r="Y1283" s="61"/>
      <c r="Z1283" s="61"/>
    </row>
    <row r="1284" spans="1:26" ht="13">
      <c r="A1284" s="61"/>
      <c r="B1284" s="61"/>
      <c r="C1284" s="61"/>
      <c r="D1284" s="61"/>
      <c r="E1284" s="61"/>
      <c r="F1284" s="61"/>
      <c r="G1284" s="179"/>
      <c r="H1284" s="61"/>
      <c r="I1284" s="61"/>
      <c r="J1284" s="61"/>
      <c r="K1284" s="61"/>
      <c r="L1284" s="61"/>
      <c r="M1284" s="61"/>
      <c r="N1284" s="61"/>
      <c r="O1284" s="61"/>
      <c r="P1284" s="61"/>
      <c r="Q1284" s="61"/>
      <c r="R1284" s="61"/>
      <c r="S1284" s="61"/>
      <c r="T1284" s="61"/>
      <c r="U1284" s="61"/>
      <c r="V1284" s="61"/>
      <c r="W1284" s="61"/>
      <c r="X1284" s="61"/>
      <c r="Y1284" s="61"/>
      <c r="Z1284" s="61"/>
    </row>
    <row r="1285" spans="1:26" ht="13">
      <c r="A1285" s="61"/>
      <c r="B1285" s="61"/>
      <c r="C1285" s="61"/>
      <c r="D1285" s="61"/>
      <c r="E1285" s="61"/>
      <c r="F1285" s="61"/>
      <c r="G1285" s="179"/>
      <c r="H1285" s="61"/>
      <c r="I1285" s="61"/>
      <c r="J1285" s="61"/>
      <c r="K1285" s="61"/>
      <c r="L1285" s="61"/>
      <c r="M1285" s="61"/>
      <c r="N1285" s="61"/>
      <c r="O1285" s="61"/>
      <c r="P1285" s="61"/>
      <c r="Q1285" s="61"/>
      <c r="R1285" s="61"/>
      <c r="S1285" s="61"/>
      <c r="T1285" s="61"/>
      <c r="U1285" s="61"/>
      <c r="V1285" s="61"/>
      <c r="W1285" s="61"/>
      <c r="X1285" s="61"/>
      <c r="Y1285" s="61"/>
      <c r="Z1285" s="61"/>
    </row>
    <row r="1286" spans="1:26" ht="13">
      <c r="A1286" s="61"/>
      <c r="B1286" s="61"/>
      <c r="C1286" s="61"/>
      <c r="D1286" s="61"/>
      <c r="E1286" s="61"/>
      <c r="F1286" s="61"/>
      <c r="G1286" s="179"/>
      <c r="H1286" s="61"/>
      <c r="I1286" s="61"/>
      <c r="J1286" s="61"/>
      <c r="K1286" s="61"/>
      <c r="L1286" s="61"/>
      <c r="M1286" s="61"/>
      <c r="N1286" s="61"/>
      <c r="O1286" s="61"/>
      <c r="P1286" s="61"/>
      <c r="Q1286" s="61"/>
      <c r="R1286" s="61"/>
      <c r="S1286" s="61"/>
      <c r="T1286" s="61"/>
      <c r="U1286" s="61"/>
      <c r="V1286" s="61"/>
      <c r="W1286" s="61"/>
      <c r="X1286" s="61"/>
      <c r="Y1286" s="61"/>
      <c r="Z1286" s="61"/>
    </row>
    <row r="1287" spans="1:26" ht="13">
      <c r="A1287" s="61"/>
      <c r="B1287" s="61"/>
      <c r="C1287" s="61"/>
      <c r="D1287" s="61"/>
      <c r="E1287" s="61"/>
      <c r="F1287" s="61"/>
      <c r="G1287" s="179"/>
      <c r="H1287" s="61"/>
      <c r="I1287" s="61"/>
      <c r="J1287" s="61"/>
      <c r="K1287" s="61"/>
      <c r="L1287" s="61"/>
      <c r="M1287" s="61"/>
      <c r="N1287" s="61"/>
      <c r="O1287" s="61"/>
      <c r="P1287" s="61"/>
      <c r="Q1287" s="61"/>
      <c r="R1287" s="61"/>
      <c r="S1287" s="61"/>
      <c r="T1287" s="61"/>
      <c r="U1287" s="61"/>
      <c r="V1287" s="61"/>
      <c r="W1287" s="61"/>
      <c r="X1287" s="61"/>
      <c r="Y1287" s="61"/>
      <c r="Z1287" s="61"/>
    </row>
    <row r="1288" spans="1:26" ht="13">
      <c r="A1288" s="61"/>
      <c r="B1288" s="61"/>
      <c r="C1288" s="61"/>
      <c r="D1288" s="61"/>
      <c r="E1288" s="61"/>
      <c r="F1288" s="61"/>
      <c r="G1288" s="179"/>
      <c r="H1288" s="61"/>
      <c r="I1288" s="61"/>
      <c r="J1288" s="61"/>
      <c r="K1288" s="61"/>
      <c r="L1288" s="61"/>
      <c r="M1288" s="61"/>
      <c r="N1288" s="61"/>
      <c r="O1288" s="61"/>
      <c r="P1288" s="61"/>
      <c r="Q1288" s="61"/>
      <c r="R1288" s="61"/>
      <c r="S1288" s="61"/>
      <c r="T1288" s="61"/>
      <c r="U1288" s="61"/>
      <c r="V1288" s="61"/>
      <c r="W1288" s="61"/>
      <c r="X1288" s="61"/>
      <c r="Y1288" s="61"/>
      <c r="Z1288" s="61"/>
    </row>
    <row r="1289" spans="1:26" ht="13">
      <c r="A1289" s="61"/>
      <c r="B1289" s="61"/>
      <c r="C1289" s="61"/>
      <c r="D1289" s="61"/>
      <c r="E1289" s="61"/>
      <c r="F1289" s="61"/>
      <c r="G1289" s="179"/>
      <c r="H1289" s="61"/>
      <c r="I1289" s="61"/>
      <c r="J1289" s="61"/>
      <c r="K1289" s="61"/>
      <c r="L1289" s="61"/>
      <c r="M1289" s="61"/>
      <c r="N1289" s="61"/>
      <c r="O1289" s="61"/>
      <c r="P1289" s="61"/>
      <c r="Q1289" s="61"/>
      <c r="R1289" s="61"/>
      <c r="S1289" s="61"/>
      <c r="T1289" s="61"/>
      <c r="U1289" s="61"/>
      <c r="V1289" s="61"/>
      <c r="W1289" s="61"/>
      <c r="X1289" s="61"/>
      <c r="Y1289" s="61"/>
      <c r="Z1289" s="61"/>
    </row>
    <row r="1290" spans="1:26" ht="13">
      <c r="A1290" s="61"/>
      <c r="B1290" s="61"/>
      <c r="C1290" s="61"/>
      <c r="D1290" s="61"/>
      <c r="E1290" s="61"/>
      <c r="F1290" s="61"/>
      <c r="G1290" s="179"/>
      <c r="H1290" s="61"/>
      <c r="I1290" s="61"/>
      <c r="J1290" s="61"/>
      <c r="K1290" s="61"/>
      <c r="L1290" s="61"/>
      <c r="M1290" s="61"/>
      <c r="N1290" s="61"/>
      <c r="O1290" s="61"/>
      <c r="P1290" s="61"/>
      <c r="Q1290" s="61"/>
      <c r="R1290" s="61"/>
      <c r="S1290" s="61"/>
      <c r="T1290" s="61"/>
      <c r="U1290" s="61"/>
      <c r="V1290" s="61"/>
      <c r="W1290" s="61"/>
      <c r="X1290" s="61"/>
      <c r="Y1290" s="61"/>
      <c r="Z1290" s="61"/>
    </row>
    <row r="1291" spans="1:26" ht="13">
      <c r="A1291" s="61"/>
      <c r="B1291" s="61"/>
      <c r="C1291" s="61"/>
      <c r="D1291" s="61"/>
      <c r="E1291" s="61"/>
      <c r="F1291" s="61"/>
      <c r="G1291" s="179"/>
      <c r="H1291" s="61"/>
      <c r="I1291" s="61"/>
      <c r="J1291" s="61"/>
      <c r="K1291" s="61"/>
      <c r="L1291" s="61"/>
      <c r="M1291" s="61"/>
      <c r="N1291" s="61"/>
      <c r="O1291" s="61"/>
      <c r="P1291" s="61"/>
      <c r="Q1291" s="61"/>
      <c r="R1291" s="61"/>
      <c r="S1291" s="61"/>
      <c r="T1291" s="61"/>
      <c r="U1291" s="61"/>
      <c r="V1291" s="61"/>
      <c r="W1291" s="61"/>
      <c r="X1291" s="61"/>
      <c r="Y1291" s="61"/>
      <c r="Z1291" s="61"/>
    </row>
    <row r="1292" spans="1:26" ht="13">
      <c r="A1292" s="61"/>
      <c r="B1292" s="61"/>
      <c r="C1292" s="61"/>
      <c r="D1292" s="61"/>
      <c r="E1292" s="61"/>
      <c r="F1292" s="61"/>
      <c r="G1292" s="179"/>
      <c r="H1292" s="61"/>
      <c r="I1292" s="61"/>
      <c r="J1292" s="61"/>
      <c r="K1292" s="61"/>
      <c r="L1292" s="61"/>
      <c r="M1292" s="61"/>
      <c r="N1292" s="61"/>
      <c r="O1292" s="61"/>
      <c r="P1292" s="61"/>
      <c r="Q1292" s="61"/>
      <c r="R1292" s="61"/>
      <c r="S1292" s="61"/>
      <c r="T1292" s="61"/>
      <c r="U1292" s="61"/>
      <c r="V1292" s="61"/>
      <c r="W1292" s="61"/>
      <c r="X1292" s="61"/>
      <c r="Y1292" s="61"/>
      <c r="Z1292" s="61"/>
    </row>
    <row r="1293" spans="1:26" ht="13">
      <c r="A1293" s="61"/>
      <c r="B1293" s="61"/>
      <c r="C1293" s="61"/>
      <c r="D1293" s="61"/>
      <c r="E1293" s="61"/>
      <c r="F1293" s="61"/>
      <c r="G1293" s="179"/>
      <c r="H1293" s="61"/>
      <c r="I1293" s="61"/>
      <c r="J1293" s="61"/>
      <c r="K1293" s="61"/>
      <c r="L1293" s="61"/>
      <c r="M1293" s="61"/>
      <c r="N1293" s="61"/>
      <c r="O1293" s="61"/>
      <c r="P1293" s="61"/>
      <c r="Q1293" s="61"/>
      <c r="R1293" s="61"/>
      <c r="S1293" s="61"/>
      <c r="T1293" s="61"/>
      <c r="U1293" s="61"/>
      <c r="V1293" s="61"/>
      <c r="W1293" s="61"/>
      <c r="X1293" s="61"/>
      <c r="Y1293" s="61"/>
      <c r="Z1293" s="61"/>
    </row>
    <row r="1294" spans="1:26" ht="13">
      <c r="A1294" s="61"/>
      <c r="B1294" s="61"/>
      <c r="C1294" s="61"/>
      <c r="D1294" s="61"/>
      <c r="E1294" s="61"/>
      <c r="F1294" s="61"/>
      <c r="G1294" s="179"/>
      <c r="H1294" s="61"/>
      <c r="I1294" s="61"/>
      <c r="J1294" s="61"/>
      <c r="K1294" s="61"/>
      <c r="L1294" s="61"/>
      <c r="M1294" s="61"/>
      <c r="N1294" s="61"/>
      <c r="O1294" s="61"/>
      <c r="P1294" s="61"/>
      <c r="Q1294" s="61"/>
      <c r="R1294" s="61"/>
      <c r="S1294" s="61"/>
      <c r="T1294" s="61"/>
      <c r="U1294" s="61"/>
      <c r="V1294" s="61"/>
      <c r="W1294" s="61"/>
      <c r="X1294" s="61"/>
      <c r="Y1294" s="61"/>
      <c r="Z1294" s="61"/>
    </row>
    <row r="1295" spans="1:26" ht="13">
      <c r="A1295" s="61"/>
      <c r="B1295" s="61"/>
      <c r="C1295" s="61"/>
      <c r="D1295" s="61"/>
      <c r="E1295" s="61"/>
      <c r="F1295" s="61"/>
      <c r="G1295" s="179"/>
      <c r="H1295" s="61"/>
      <c r="I1295" s="61"/>
      <c r="J1295" s="61"/>
      <c r="K1295" s="61"/>
      <c r="L1295" s="61"/>
      <c r="M1295" s="61"/>
      <c r="N1295" s="61"/>
      <c r="O1295" s="61"/>
      <c r="P1295" s="61"/>
      <c r="Q1295" s="61"/>
      <c r="R1295" s="61"/>
      <c r="S1295" s="61"/>
      <c r="T1295" s="61"/>
      <c r="U1295" s="61"/>
      <c r="V1295" s="61"/>
      <c r="W1295" s="61"/>
      <c r="X1295" s="61"/>
      <c r="Y1295" s="61"/>
      <c r="Z1295" s="61"/>
    </row>
    <row r="1296" spans="1:26" ht="13">
      <c r="A1296" s="61"/>
      <c r="B1296" s="61"/>
      <c r="C1296" s="61"/>
      <c r="D1296" s="61"/>
      <c r="E1296" s="61"/>
      <c r="F1296" s="61"/>
      <c r="G1296" s="179"/>
      <c r="H1296" s="61"/>
      <c r="I1296" s="61"/>
      <c r="J1296" s="61"/>
      <c r="K1296" s="61"/>
      <c r="L1296" s="61"/>
      <c r="M1296" s="61"/>
      <c r="N1296" s="61"/>
      <c r="O1296" s="61"/>
      <c r="P1296" s="61"/>
      <c r="Q1296" s="61"/>
      <c r="R1296" s="61"/>
      <c r="S1296" s="61"/>
      <c r="T1296" s="61"/>
      <c r="U1296" s="61"/>
      <c r="V1296" s="61"/>
      <c r="W1296" s="61"/>
      <c r="X1296" s="61"/>
      <c r="Y1296" s="61"/>
      <c r="Z1296" s="61"/>
    </row>
    <row r="1297" spans="1:26" ht="13">
      <c r="A1297" s="61"/>
      <c r="B1297" s="61"/>
      <c r="C1297" s="61"/>
      <c r="D1297" s="61"/>
      <c r="E1297" s="61"/>
      <c r="F1297" s="61"/>
      <c r="G1297" s="179"/>
      <c r="H1297" s="61"/>
      <c r="I1297" s="61"/>
      <c r="J1297" s="61"/>
      <c r="K1297" s="61"/>
      <c r="L1297" s="61"/>
      <c r="M1297" s="61"/>
      <c r="N1297" s="61"/>
      <c r="O1297" s="61"/>
      <c r="P1297" s="61"/>
      <c r="Q1297" s="61"/>
      <c r="R1297" s="61"/>
      <c r="S1297" s="61"/>
      <c r="T1297" s="61"/>
      <c r="U1297" s="61"/>
      <c r="V1297" s="61"/>
      <c r="W1297" s="61"/>
      <c r="X1297" s="61"/>
      <c r="Y1297" s="61"/>
      <c r="Z1297" s="61"/>
    </row>
    <row r="1298" spans="1:26" ht="13">
      <c r="A1298" s="61"/>
      <c r="B1298" s="61"/>
      <c r="C1298" s="61"/>
      <c r="D1298" s="61"/>
      <c r="E1298" s="61"/>
      <c r="F1298" s="61"/>
      <c r="G1298" s="179"/>
      <c r="H1298" s="61"/>
      <c r="I1298" s="61"/>
      <c r="J1298" s="61"/>
      <c r="K1298" s="61"/>
      <c r="L1298" s="61"/>
      <c r="M1298" s="61"/>
      <c r="N1298" s="61"/>
      <c r="O1298" s="61"/>
      <c r="P1298" s="61"/>
      <c r="Q1298" s="61"/>
      <c r="R1298" s="61"/>
      <c r="S1298" s="61"/>
      <c r="T1298" s="61"/>
      <c r="U1298" s="61"/>
      <c r="V1298" s="61"/>
      <c r="W1298" s="61"/>
      <c r="X1298" s="61"/>
      <c r="Y1298" s="61"/>
      <c r="Z1298" s="61"/>
    </row>
    <row r="1299" spans="1:26" ht="13">
      <c r="A1299" s="61"/>
      <c r="B1299" s="61"/>
      <c r="C1299" s="61"/>
      <c r="D1299" s="61"/>
      <c r="E1299" s="61"/>
      <c r="F1299" s="61"/>
      <c r="G1299" s="179"/>
      <c r="H1299" s="61"/>
      <c r="I1299" s="61"/>
      <c r="J1299" s="61"/>
      <c r="K1299" s="61"/>
      <c r="L1299" s="61"/>
      <c r="M1299" s="61"/>
      <c r="N1299" s="61"/>
      <c r="O1299" s="61"/>
      <c r="P1299" s="61"/>
      <c r="Q1299" s="61"/>
      <c r="R1299" s="61"/>
      <c r="S1299" s="61"/>
      <c r="T1299" s="61"/>
      <c r="U1299" s="61"/>
      <c r="V1299" s="61"/>
      <c r="W1299" s="61"/>
      <c r="X1299" s="61"/>
      <c r="Y1299" s="61"/>
      <c r="Z1299" s="61"/>
    </row>
    <row r="1300" spans="1:26" ht="13">
      <c r="A1300" s="61"/>
      <c r="B1300" s="61"/>
      <c r="C1300" s="61"/>
      <c r="D1300" s="61"/>
      <c r="E1300" s="61"/>
      <c r="F1300" s="61"/>
      <c r="G1300" s="179"/>
      <c r="H1300" s="61"/>
      <c r="I1300" s="61"/>
      <c r="J1300" s="61"/>
      <c r="K1300" s="61"/>
      <c r="L1300" s="61"/>
      <c r="M1300" s="61"/>
      <c r="N1300" s="61"/>
      <c r="O1300" s="61"/>
      <c r="P1300" s="61"/>
      <c r="Q1300" s="61"/>
      <c r="R1300" s="61"/>
      <c r="S1300" s="61"/>
      <c r="T1300" s="61"/>
      <c r="U1300" s="61"/>
      <c r="V1300" s="61"/>
      <c r="W1300" s="61"/>
      <c r="X1300" s="61"/>
      <c r="Y1300" s="61"/>
      <c r="Z1300" s="61"/>
    </row>
    <row r="1301" spans="1:26" ht="13">
      <c r="A1301" s="61"/>
      <c r="B1301" s="61"/>
      <c r="C1301" s="61"/>
      <c r="D1301" s="61"/>
      <c r="E1301" s="61"/>
      <c r="F1301" s="61"/>
      <c r="G1301" s="179"/>
      <c r="H1301" s="61"/>
      <c r="I1301" s="61"/>
      <c r="J1301" s="61"/>
      <c r="K1301" s="61"/>
      <c r="L1301" s="61"/>
      <c r="M1301" s="61"/>
      <c r="N1301" s="61"/>
      <c r="O1301" s="61"/>
      <c r="P1301" s="61"/>
      <c r="Q1301" s="61"/>
      <c r="R1301" s="61"/>
      <c r="S1301" s="61"/>
      <c r="T1301" s="61"/>
      <c r="U1301" s="61"/>
      <c r="V1301" s="61"/>
      <c r="W1301" s="61"/>
      <c r="X1301" s="61"/>
      <c r="Y1301" s="61"/>
      <c r="Z1301" s="61"/>
    </row>
    <row r="1302" spans="1:26" ht="13">
      <c r="A1302" s="61"/>
      <c r="B1302" s="61"/>
      <c r="C1302" s="61"/>
      <c r="D1302" s="61"/>
      <c r="E1302" s="61"/>
      <c r="F1302" s="61"/>
      <c r="G1302" s="179"/>
      <c r="H1302" s="61"/>
      <c r="I1302" s="61"/>
      <c r="J1302" s="61"/>
      <c r="K1302" s="61"/>
      <c r="L1302" s="61"/>
      <c r="M1302" s="61"/>
      <c r="N1302" s="61"/>
      <c r="O1302" s="61"/>
      <c r="P1302" s="61"/>
      <c r="Q1302" s="61"/>
      <c r="R1302" s="61"/>
      <c r="S1302" s="61"/>
      <c r="T1302" s="61"/>
      <c r="U1302" s="61"/>
      <c r="V1302" s="61"/>
      <c r="W1302" s="61"/>
      <c r="X1302" s="61"/>
      <c r="Y1302" s="61"/>
      <c r="Z1302" s="61"/>
    </row>
    <row r="1303" spans="1:26" ht="13">
      <c r="A1303" s="61"/>
      <c r="B1303" s="61"/>
      <c r="C1303" s="61"/>
      <c r="D1303" s="61"/>
      <c r="E1303" s="61"/>
      <c r="F1303" s="61"/>
      <c r="G1303" s="179"/>
      <c r="H1303" s="61"/>
      <c r="I1303" s="61"/>
      <c r="J1303" s="61"/>
      <c r="K1303" s="61"/>
      <c r="L1303" s="61"/>
      <c r="M1303" s="61"/>
      <c r="N1303" s="61"/>
      <c r="O1303" s="61"/>
      <c r="P1303" s="61"/>
      <c r="Q1303" s="61"/>
      <c r="R1303" s="61"/>
      <c r="S1303" s="61"/>
      <c r="T1303" s="61"/>
      <c r="U1303" s="61"/>
      <c r="V1303" s="61"/>
      <c r="W1303" s="61"/>
      <c r="X1303" s="61"/>
      <c r="Y1303" s="61"/>
      <c r="Z1303" s="61"/>
    </row>
    <row r="1304" spans="1:26" ht="13">
      <c r="A1304" s="61"/>
      <c r="B1304" s="61"/>
      <c r="C1304" s="61"/>
      <c r="D1304" s="61"/>
      <c r="E1304" s="61"/>
      <c r="F1304" s="61"/>
      <c r="G1304" s="179"/>
      <c r="H1304" s="61"/>
      <c r="I1304" s="61"/>
      <c r="J1304" s="61"/>
      <c r="K1304" s="61"/>
      <c r="L1304" s="61"/>
      <c r="M1304" s="61"/>
      <c r="N1304" s="61"/>
      <c r="O1304" s="61"/>
      <c r="P1304" s="61"/>
      <c r="Q1304" s="61"/>
      <c r="R1304" s="61"/>
      <c r="S1304" s="61"/>
      <c r="T1304" s="61"/>
      <c r="U1304" s="61"/>
      <c r="V1304" s="61"/>
      <c r="W1304" s="61"/>
      <c r="X1304" s="61"/>
      <c r="Y1304" s="61"/>
      <c r="Z1304" s="61"/>
    </row>
    <row r="1305" spans="1:26" ht="13">
      <c r="A1305" s="61"/>
      <c r="B1305" s="61"/>
      <c r="C1305" s="61"/>
      <c r="D1305" s="61"/>
      <c r="E1305" s="61"/>
      <c r="F1305" s="61"/>
      <c r="G1305" s="179"/>
      <c r="H1305" s="61"/>
      <c r="I1305" s="61"/>
      <c r="J1305" s="61"/>
      <c r="K1305" s="61"/>
      <c r="L1305" s="61"/>
      <c r="M1305" s="61"/>
      <c r="N1305" s="61"/>
      <c r="O1305" s="61"/>
      <c r="P1305" s="61"/>
      <c r="Q1305" s="61"/>
      <c r="R1305" s="61"/>
      <c r="S1305" s="61"/>
      <c r="T1305" s="61"/>
      <c r="U1305" s="61"/>
      <c r="V1305" s="61"/>
      <c r="W1305" s="61"/>
      <c r="X1305" s="61"/>
      <c r="Y1305" s="61"/>
      <c r="Z1305" s="61"/>
    </row>
    <row r="1306" spans="1:26" ht="13">
      <c r="A1306" s="61"/>
      <c r="B1306" s="61"/>
      <c r="C1306" s="61"/>
      <c r="D1306" s="61"/>
      <c r="E1306" s="61"/>
      <c r="F1306" s="61"/>
      <c r="G1306" s="179"/>
      <c r="H1306" s="61"/>
      <c r="I1306" s="61"/>
      <c r="J1306" s="61"/>
      <c r="K1306" s="61"/>
      <c r="L1306" s="61"/>
      <c r="M1306" s="61"/>
      <c r="N1306" s="61"/>
      <c r="O1306" s="61"/>
      <c r="P1306" s="61"/>
      <c r="Q1306" s="61"/>
      <c r="R1306" s="61"/>
      <c r="S1306" s="61"/>
      <c r="T1306" s="61"/>
      <c r="U1306" s="61"/>
      <c r="V1306" s="61"/>
      <c r="W1306" s="61"/>
      <c r="X1306" s="61"/>
      <c r="Y1306" s="61"/>
      <c r="Z1306" s="61"/>
    </row>
    <row r="1307" spans="1:26" ht="13">
      <c r="A1307" s="61"/>
      <c r="B1307" s="61"/>
      <c r="C1307" s="61"/>
      <c r="D1307" s="61"/>
      <c r="E1307" s="61"/>
      <c r="F1307" s="61"/>
      <c r="G1307" s="179"/>
      <c r="H1307" s="61"/>
      <c r="I1307" s="61"/>
      <c r="J1307" s="61"/>
      <c r="K1307" s="61"/>
      <c r="L1307" s="61"/>
      <c r="M1307" s="61"/>
      <c r="N1307" s="61"/>
      <c r="O1307" s="61"/>
      <c r="P1307" s="61"/>
      <c r="Q1307" s="61"/>
      <c r="R1307" s="61"/>
      <c r="S1307" s="61"/>
      <c r="T1307" s="61"/>
      <c r="U1307" s="61"/>
      <c r="V1307" s="61"/>
      <c r="W1307" s="61"/>
      <c r="X1307" s="61"/>
      <c r="Y1307" s="61"/>
      <c r="Z1307" s="61"/>
    </row>
    <row r="1308" spans="1:26" ht="13">
      <c r="A1308" s="61"/>
      <c r="B1308" s="61"/>
      <c r="C1308" s="61"/>
      <c r="D1308" s="61"/>
      <c r="E1308" s="61"/>
      <c r="F1308" s="61"/>
      <c r="G1308" s="179"/>
      <c r="H1308" s="61"/>
      <c r="I1308" s="61"/>
      <c r="J1308" s="61"/>
      <c r="K1308" s="61"/>
      <c r="L1308" s="61"/>
      <c r="M1308" s="61"/>
      <c r="N1308" s="61"/>
      <c r="O1308" s="61"/>
      <c r="P1308" s="61"/>
      <c r="Q1308" s="61"/>
      <c r="R1308" s="61"/>
      <c r="S1308" s="61"/>
      <c r="T1308" s="61"/>
      <c r="U1308" s="61"/>
      <c r="V1308" s="61"/>
      <c r="W1308" s="61"/>
      <c r="X1308" s="61"/>
      <c r="Y1308" s="61"/>
      <c r="Z1308" s="61"/>
    </row>
    <row r="1309" spans="1:26" ht="13">
      <c r="A1309" s="61"/>
      <c r="B1309" s="61"/>
      <c r="C1309" s="61"/>
      <c r="D1309" s="61"/>
      <c r="E1309" s="61"/>
      <c r="F1309" s="61"/>
      <c r="G1309" s="179"/>
      <c r="H1309" s="61"/>
      <c r="I1309" s="61"/>
      <c r="J1309" s="61"/>
      <c r="K1309" s="61"/>
      <c r="L1309" s="61"/>
      <c r="M1309" s="61"/>
      <c r="N1309" s="61"/>
      <c r="O1309" s="61"/>
      <c r="P1309" s="61"/>
      <c r="Q1309" s="61"/>
      <c r="R1309" s="61"/>
      <c r="S1309" s="61"/>
      <c r="T1309" s="61"/>
      <c r="U1309" s="61"/>
      <c r="V1309" s="61"/>
      <c r="W1309" s="61"/>
      <c r="X1309" s="61"/>
      <c r="Y1309" s="61"/>
      <c r="Z1309" s="61"/>
    </row>
    <row r="1310" spans="1:26" ht="13">
      <c r="A1310" s="61"/>
      <c r="B1310" s="61"/>
      <c r="C1310" s="61"/>
      <c r="D1310" s="61"/>
      <c r="E1310" s="61"/>
      <c r="F1310" s="61"/>
      <c r="G1310" s="179"/>
      <c r="H1310" s="61"/>
      <c r="I1310" s="61"/>
      <c r="J1310" s="61"/>
      <c r="K1310" s="61"/>
      <c r="L1310" s="61"/>
      <c r="M1310" s="61"/>
      <c r="N1310" s="61"/>
      <c r="O1310" s="61"/>
      <c r="P1310" s="61"/>
      <c r="Q1310" s="61"/>
      <c r="R1310" s="61"/>
      <c r="S1310" s="61"/>
      <c r="T1310" s="61"/>
      <c r="U1310" s="61"/>
      <c r="V1310" s="61"/>
      <c r="W1310" s="61"/>
      <c r="X1310" s="61"/>
      <c r="Y1310" s="61"/>
      <c r="Z1310" s="61"/>
    </row>
    <row r="1311" spans="1:26" ht="13">
      <c r="A1311" s="61"/>
      <c r="B1311" s="61"/>
      <c r="C1311" s="61"/>
      <c r="D1311" s="61"/>
      <c r="E1311" s="61"/>
      <c r="F1311" s="61"/>
      <c r="G1311" s="179"/>
      <c r="H1311" s="61"/>
      <c r="I1311" s="61"/>
      <c r="J1311" s="61"/>
      <c r="K1311" s="61"/>
      <c r="L1311" s="61"/>
      <c r="M1311" s="61"/>
      <c r="N1311" s="61"/>
      <c r="O1311" s="61"/>
      <c r="P1311" s="61"/>
      <c r="Q1311" s="61"/>
      <c r="R1311" s="61"/>
      <c r="S1311" s="61"/>
      <c r="T1311" s="61"/>
      <c r="U1311" s="61"/>
      <c r="V1311" s="61"/>
      <c r="W1311" s="61"/>
      <c r="X1311" s="61"/>
      <c r="Y1311" s="61"/>
      <c r="Z1311" s="61"/>
    </row>
    <row r="1312" spans="1:26" ht="13">
      <c r="A1312" s="61"/>
      <c r="B1312" s="61"/>
      <c r="C1312" s="61"/>
      <c r="D1312" s="61"/>
      <c r="E1312" s="61"/>
      <c r="F1312" s="61"/>
      <c r="G1312" s="179"/>
      <c r="H1312" s="61"/>
      <c r="I1312" s="61"/>
      <c r="J1312" s="61"/>
      <c r="K1312" s="61"/>
      <c r="L1312" s="61"/>
      <c r="M1312" s="61"/>
      <c r="N1312" s="61"/>
      <c r="O1312" s="61"/>
      <c r="P1312" s="61"/>
      <c r="Q1312" s="61"/>
      <c r="R1312" s="61"/>
      <c r="S1312" s="61"/>
      <c r="T1312" s="61"/>
      <c r="U1312" s="61"/>
      <c r="V1312" s="61"/>
      <c r="W1312" s="61"/>
      <c r="X1312" s="61"/>
      <c r="Y1312" s="61"/>
      <c r="Z1312" s="61"/>
    </row>
    <row r="1313" spans="1:26" ht="13">
      <c r="A1313" s="61"/>
      <c r="B1313" s="61"/>
      <c r="C1313" s="61"/>
      <c r="D1313" s="61"/>
      <c r="E1313" s="61"/>
      <c r="F1313" s="61"/>
      <c r="G1313" s="179"/>
      <c r="H1313" s="61"/>
      <c r="I1313" s="61"/>
      <c r="J1313" s="61"/>
      <c r="K1313" s="61"/>
      <c r="L1313" s="61"/>
      <c r="M1313" s="61"/>
      <c r="N1313" s="61"/>
      <c r="O1313" s="61"/>
      <c r="P1313" s="61"/>
      <c r="Q1313" s="61"/>
      <c r="R1313" s="61"/>
      <c r="S1313" s="61"/>
      <c r="T1313" s="61"/>
      <c r="U1313" s="61"/>
      <c r="V1313" s="61"/>
      <c r="W1313" s="61"/>
      <c r="X1313" s="61"/>
      <c r="Y1313" s="61"/>
      <c r="Z1313" s="61"/>
    </row>
    <row r="1314" spans="1:26" ht="13">
      <c r="A1314" s="61"/>
      <c r="B1314" s="61"/>
      <c r="C1314" s="61"/>
      <c r="D1314" s="61"/>
      <c r="E1314" s="61"/>
      <c r="F1314" s="61"/>
      <c r="G1314" s="179"/>
      <c r="H1314" s="61"/>
      <c r="I1314" s="61"/>
      <c r="J1314" s="61"/>
      <c r="K1314" s="61"/>
      <c r="L1314" s="61"/>
      <c r="M1314" s="61"/>
      <c r="N1314" s="61"/>
      <c r="O1314" s="61"/>
      <c r="P1314" s="61"/>
      <c r="Q1314" s="61"/>
      <c r="R1314" s="61"/>
      <c r="S1314" s="61"/>
      <c r="T1314" s="61"/>
      <c r="U1314" s="61"/>
      <c r="V1314" s="61"/>
      <c r="W1314" s="61"/>
      <c r="X1314" s="61"/>
      <c r="Y1314" s="61"/>
      <c r="Z1314" s="61"/>
    </row>
    <row r="1315" spans="1:26" ht="13">
      <c r="A1315" s="61"/>
      <c r="B1315" s="61"/>
      <c r="C1315" s="61"/>
      <c r="D1315" s="61"/>
      <c r="E1315" s="61"/>
      <c r="F1315" s="61"/>
      <c r="G1315" s="179"/>
      <c r="H1315" s="61"/>
      <c r="I1315" s="61"/>
      <c r="J1315" s="61"/>
      <c r="K1315" s="61"/>
      <c r="L1315" s="61"/>
      <c r="M1315" s="61"/>
      <c r="N1315" s="61"/>
      <c r="O1315" s="61"/>
      <c r="P1315" s="61"/>
      <c r="Q1315" s="61"/>
      <c r="R1315" s="61"/>
      <c r="S1315" s="61"/>
      <c r="T1315" s="61"/>
      <c r="U1315" s="61"/>
      <c r="V1315" s="61"/>
      <c r="W1315" s="61"/>
      <c r="X1315" s="61"/>
      <c r="Y1315" s="61"/>
      <c r="Z1315" s="61"/>
    </row>
    <row r="1316" spans="1:26" ht="13">
      <c r="A1316" s="61"/>
      <c r="B1316" s="61"/>
      <c r="C1316" s="61"/>
      <c r="D1316" s="61"/>
      <c r="E1316" s="61"/>
      <c r="F1316" s="61"/>
      <c r="G1316" s="179"/>
      <c r="H1316" s="61"/>
      <c r="I1316" s="61"/>
      <c r="J1316" s="61"/>
      <c r="K1316" s="61"/>
      <c r="L1316" s="61"/>
      <c r="M1316" s="61"/>
      <c r="N1316" s="61"/>
      <c r="O1316" s="61"/>
      <c r="P1316" s="61"/>
      <c r="Q1316" s="61"/>
      <c r="R1316" s="61"/>
      <c r="S1316" s="61"/>
      <c r="T1316" s="61"/>
      <c r="U1316" s="61"/>
      <c r="V1316" s="61"/>
      <c r="W1316" s="61"/>
      <c r="X1316" s="61"/>
      <c r="Y1316" s="61"/>
      <c r="Z1316" s="61"/>
    </row>
    <row r="1317" spans="1:26" ht="13">
      <c r="A1317" s="61"/>
      <c r="B1317" s="61"/>
      <c r="C1317" s="61"/>
      <c r="D1317" s="61"/>
      <c r="E1317" s="61"/>
      <c r="F1317" s="61"/>
      <c r="G1317" s="179"/>
      <c r="H1317" s="61"/>
      <c r="I1317" s="61"/>
      <c r="J1317" s="61"/>
      <c r="K1317" s="61"/>
      <c r="L1317" s="61"/>
      <c r="M1317" s="61"/>
      <c r="N1317" s="61"/>
      <c r="O1317" s="61"/>
      <c r="P1317" s="61"/>
      <c r="Q1317" s="61"/>
      <c r="R1317" s="61"/>
      <c r="S1317" s="61"/>
      <c r="T1317" s="61"/>
      <c r="U1317" s="61"/>
      <c r="V1317" s="61"/>
      <c r="W1317" s="61"/>
      <c r="X1317" s="61"/>
      <c r="Y1317" s="61"/>
      <c r="Z1317" s="61"/>
    </row>
    <row r="1318" spans="1:26" ht="13">
      <c r="A1318" s="61"/>
      <c r="B1318" s="61"/>
      <c r="C1318" s="61"/>
      <c r="D1318" s="61"/>
      <c r="E1318" s="61"/>
      <c r="F1318" s="61"/>
      <c r="G1318" s="179"/>
      <c r="H1318" s="61"/>
      <c r="I1318" s="61"/>
      <c r="J1318" s="61"/>
      <c r="K1318" s="61"/>
      <c r="L1318" s="61"/>
      <c r="M1318" s="61"/>
      <c r="N1318" s="61"/>
      <c r="O1318" s="61"/>
      <c r="P1318" s="61"/>
      <c r="Q1318" s="61"/>
      <c r="R1318" s="61"/>
      <c r="S1318" s="61"/>
      <c r="T1318" s="61"/>
      <c r="U1318" s="61"/>
      <c r="V1318" s="61"/>
      <c r="W1318" s="61"/>
      <c r="X1318" s="61"/>
      <c r="Y1318" s="61"/>
      <c r="Z1318" s="61"/>
    </row>
    <row r="1319" spans="1:26" ht="13">
      <c r="A1319" s="61"/>
      <c r="B1319" s="61"/>
      <c r="C1319" s="61"/>
      <c r="D1319" s="61"/>
      <c r="E1319" s="61"/>
      <c r="F1319" s="61"/>
      <c r="G1319" s="179"/>
      <c r="H1319" s="61"/>
      <c r="I1319" s="61"/>
      <c r="J1319" s="61"/>
      <c r="K1319" s="61"/>
      <c r="L1319" s="61"/>
      <c r="M1319" s="61"/>
      <c r="N1319" s="61"/>
      <c r="O1319" s="61"/>
      <c r="P1319" s="61"/>
      <c r="Q1319" s="61"/>
      <c r="R1319" s="61"/>
      <c r="S1319" s="61"/>
      <c r="T1319" s="61"/>
      <c r="U1319" s="61"/>
      <c r="V1319" s="61"/>
      <c r="W1319" s="61"/>
      <c r="X1319" s="61"/>
      <c r="Y1319" s="61"/>
      <c r="Z1319" s="61"/>
    </row>
    <row r="1320" spans="1:26" ht="13">
      <c r="A1320" s="61"/>
      <c r="B1320" s="61"/>
      <c r="C1320" s="61"/>
      <c r="D1320" s="61"/>
      <c r="E1320" s="61"/>
      <c r="F1320" s="61"/>
      <c r="G1320" s="179"/>
      <c r="H1320" s="61"/>
      <c r="I1320" s="61"/>
      <c r="J1320" s="61"/>
      <c r="K1320" s="61"/>
      <c r="L1320" s="61"/>
      <c r="M1320" s="61"/>
      <c r="N1320" s="61"/>
      <c r="O1320" s="61"/>
      <c r="P1320" s="61"/>
      <c r="Q1320" s="61"/>
      <c r="R1320" s="61"/>
      <c r="S1320" s="61"/>
      <c r="T1320" s="61"/>
      <c r="U1320" s="61"/>
      <c r="V1320" s="61"/>
      <c r="W1320" s="61"/>
      <c r="X1320" s="61"/>
      <c r="Y1320" s="61"/>
      <c r="Z1320" s="61"/>
    </row>
    <row r="1321" spans="1:26" ht="13">
      <c r="A1321" s="61"/>
      <c r="B1321" s="61"/>
      <c r="C1321" s="61"/>
      <c r="D1321" s="61"/>
      <c r="E1321" s="61"/>
      <c r="F1321" s="61"/>
      <c r="G1321" s="179"/>
      <c r="H1321" s="61"/>
      <c r="I1321" s="61"/>
      <c r="J1321" s="61"/>
      <c r="K1321" s="61"/>
      <c r="L1321" s="61"/>
      <c r="M1321" s="61"/>
      <c r="N1321" s="61"/>
      <c r="O1321" s="61"/>
      <c r="P1321" s="61"/>
      <c r="Q1321" s="61"/>
      <c r="R1321" s="61"/>
      <c r="S1321" s="61"/>
      <c r="T1321" s="61"/>
      <c r="U1321" s="61"/>
      <c r="V1321" s="61"/>
      <c r="W1321" s="61"/>
      <c r="X1321" s="61"/>
      <c r="Y1321" s="61"/>
      <c r="Z1321" s="61"/>
    </row>
    <row r="1322" spans="1:26" ht="13">
      <c r="A1322" s="61"/>
      <c r="B1322" s="61"/>
      <c r="C1322" s="61"/>
      <c r="D1322" s="61"/>
      <c r="E1322" s="61"/>
      <c r="F1322" s="61"/>
      <c r="G1322" s="179"/>
      <c r="H1322" s="61"/>
      <c r="I1322" s="61"/>
      <c r="J1322" s="61"/>
      <c r="K1322" s="61"/>
      <c r="L1322" s="61"/>
      <c r="M1322" s="61"/>
      <c r="N1322" s="61"/>
      <c r="O1322" s="61"/>
      <c r="P1322" s="61"/>
      <c r="Q1322" s="61"/>
      <c r="R1322" s="61"/>
      <c r="S1322" s="61"/>
      <c r="T1322" s="61"/>
      <c r="U1322" s="61"/>
      <c r="V1322" s="61"/>
      <c r="W1322" s="61"/>
      <c r="X1322" s="61"/>
      <c r="Y1322" s="61"/>
      <c r="Z1322" s="61"/>
    </row>
    <row r="1323" spans="1:26" ht="13">
      <c r="A1323" s="61"/>
      <c r="B1323" s="61"/>
      <c r="C1323" s="61"/>
      <c r="D1323" s="61"/>
      <c r="E1323" s="61"/>
      <c r="F1323" s="61"/>
      <c r="G1323" s="179"/>
      <c r="H1323" s="61"/>
      <c r="I1323" s="61"/>
      <c r="J1323" s="61"/>
      <c r="K1323" s="61"/>
      <c r="L1323" s="61"/>
      <c r="M1323" s="61"/>
      <c r="N1323" s="61"/>
      <c r="O1323" s="61"/>
      <c r="P1323" s="61"/>
      <c r="Q1323" s="61"/>
      <c r="R1323" s="61"/>
      <c r="S1323" s="61"/>
      <c r="T1323" s="61"/>
      <c r="U1323" s="61"/>
      <c r="V1323" s="61"/>
      <c r="W1323" s="61"/>
      <c r="X1323" s="61"/>
      <c r="Y1323" s="61"/>
      <c r="Z1323" s="61"/>
    </row>
    <row r="1324" spans="1:26" ht="13">
      <c r="A1324" s="61"/>
      <c r="B1324" s="61"/>
      <c r="C1324" s="61"/>
      <c r="D1324" s="61"/>
      <c r="E1324" s="61"/>
      <c r="F1324" s="61"/>
      <c r="G1324" s="179"/>
      <c r="H1324" s="61"/>
      <c r="I1324" s="61"/>
      <c r="J1324" s="61"/>
      <c r="K1324" s="61"/>
      <c r="L1324" s="61"/>
      <c r="M1324" s="61"/>
      <c r="N1324" s="61"/>
      <c r="O1324" s="61"/>
      <c r="P1324" s="61"/>
      <c r="Q1324" s="61"/>
      <c r="R1324" s="61"/>
      <c r="S1324" s="61"/>
      <c r="T1324" s="61"/>
      <c r="U1324" s="61"/>
      <c r="V1324" s="61"/>
      <c r="W1324" s="61"/>
      <c r="X1324" s="61"/>
      <c r="Y1324" s="61"/>
      <c r="Z1324" s="61"/>
    </row>
    <row r="1325" spans="1:26" ht="13">
      <c r="A1325" s="61"/>
      <c r="B1325" s="61"/>
      <c r="C1325" s="61"/>
      <c r="D1325" s="61"/>
      <c r="E1325" s="61"/>
      <c r="F1325" s="61"/>
      <c r="G1325" s="179"/>
      <c r="H1325" s="61"/>
      <c r="I1325" s="61"/>
      <c r="J1325" s="61"/>
      <c r="K1325" s="61"/>
      <c r="L1325" s="61"/>
      <c r="M1325" s="61"/>
      <c r="N1325" s="61"/>
      <c r="O1325" s="61"/>
      <c r="P1325" s="61"/>
      <c r="Q1325" s="61"/>
      <c r="R1325" s="61"/>
      <c r="S1325" s="61"/>
      <c r="T1325" s="61"/>
      <c r="U1325" s="61"/>
      <c r="V1325" s="61"/>
      <c r="W1325" s="61"/>
      <c r="X1325" s="61"/>
      <c r="Y1325" s="61"/>
      <c r="Z1325" s="61"/>
    </row>
    <row r="1326" spans="1:26" ht="13">
      <c r="A1326" s="61"/>
      <c r="B1326" s="61"/>
      <c r="C1326" s="61"/>
      <c r="D1326" s="61"/>
      <c r="E1326" s="61"/>
      <c r="F1326" s="61"/>
      <c r="G1326" s="179"/>
      <c r="H1326" s="61"/>
      <c r="I1326" s="61"/>
      <c r="J1326" s="61"/>
      <c r="K1326" s="61"/>
      <c r="L1326" s="61"/>
      <c r="M1326" s="61"/>
      <c r="N1326" s="61"/>
      <c r="O1326" s="61"/>
      <c r="P1326" s="61"/>
      <c r="Q1326" s="61"/>
      <c r="R1326" s="61"/>
      <c r="S1326" s="61"/>
      <c r="T1326" s="61"/>
      <c r="U1326" s="61"/>
      <c r="V1326" s="61"/>
      <c r="W1326" s="61"/>
      <c r="X1326" s="61"/>
      <c r="Y1326" s="61"/>
      <c r="Z1326" s="61"/>
    </row>
    <row r="1327" spans="1:26" ht="13">
      <c r="A1327" s="61"/>
      <c r="B1327" s="61"/>
      <c r="C1327" s="61"/>
      <c r="D1327" s="61"/>
      <c r="E1327" s="61"/>
      <c r="F1327" s="61"/>
      <c r="G1327" s="179"/>
      <c r="H1327" s="61"/>
      <c r="I1327" s="61"/>
      <c r="J1327" s="61"/>
      <c r="K1327" s="61"/>
      <c r="L1327" s="61"/>
      <c r="M1327" s="61"/>
      <c r="N1327" s="61"/>
      <c r="O1327" s="61"/>
      <c r="P1327" s="61"/>
      <c r="Q1327" s="61"/>
      <c r="R1327" s="61"/>
      <c r="S1327" s="61"/>
      <c r="T1327" s="61"/>
      <c r="U1327" s="61"/>
      <c r="V1327" s="61"/>
      <c r="W1327" s="61"/>
      <c r="X1327" s="61"/>
      <c r="Y1327" s="61"/>
      <c r="Z1327" s="61"/>
    </row>
    <row r="1328" spans="1:26" ht="13">
      <c r="A1328" s="61"/>
      <c r="B1328" s="61"/>
      <c r="C1328" s="61"/>
      <c r="D1328" s="61"/>
      <c r="E1328" s="61"/>
      <c r="F1328" s="61"/>
      <c r="G1328" s="179"/>
      <c r="H1328" s="61"/>
      <c r="I1328" s="61"/>
      <c r="J1328" s="61"/>
      <c r="K1328" s="61"/>
      <c r="L1328" s="61"/>
      <c r="M1328" s="61"/>
      <c r="N1328" s="61"/>
      <c r="O1328" s="61"/>
      <c r="P1328" s="61"/>
      <c r="Q1328" s="61"/>
      <c r="R1328" s="61"/>
      <c r="S1328" s="61"/>
      <c r="T1328" s="61"/>
      <c r="U1328" s="61"/>
      <c r="V1328" s="61"/>
      <c r="W1328" s="61"/>
      <c r="X1328" s="61"/>
      <c r="Y1328" s="61"/>
      <c r="Z1328" s="61"/>
    </row>
    <row r="1329" spans="1:26" ht="13">
      <c r="A1329" s="61"/>
      <c r="B1329" s="61"/>
      <c r="C1329" s="61"/>
      <c r="D1329" s="61"/>
      <c r="E1329" s="61"/>
      <c r="F1329" s="61"/>
      <c r="G1329" s="179"/>
      <c r="H1329" s="61"/>
      <c r="I1329" s="61"/>
      <c r="J1329" s="61"/>
      <c r="K1329" s="61"/>
      <c r="L1329" s="61"/>
      <c r="M1329" s="61"/>
      <c r="N1329" s="61"/>
      <c r="O1329" s="61"/>
      <c r="P1329" s="61"/>
      <c r="Q1329" s="61"/>
      <c r="R1329" s="61"/>
      <c r="S1329" s="61"/>
      <c r="T1329" s="61"/>
      <c r="U1329" s="61"/>
      <c r="V1329" s="61"/>
      <c r="W1329" s="61"/>
      <c r="X1329" s="61"/>
      <c r="Y1329" s="61"/>
      <c r="Z1329" s="61"/>
    </row>
    <row r="1330" spans="1:26" ht="13">
      <c r="A1330" s="61"/>
      <c r="B1330" s="61"/>
      <c r="C1330" s="61"/>
      <c r="D1330" s="61"/>
      <c r="E1330" s="61"/>
      <c r="F1330" s="61"/>
      <c r="G1330" s="179"/>
      <c r="H1330" s="61"/>
      <c r="I1330" s="61"/>
      <c r="J1330" s="61"/>
      <c r="K1330" s="61"/>
      <c r="L1330" s="61"/>
      <c r="M1330" s="61"/>
      <c r="N1330" s="61"/>
      <c r="O1330" s="61"/>
      <c r="P1330" s="61"/>
      <c r="Q1330" s="61"/>
      <c r="R1330" s="61"/>
      <c r="S1330" s="61"/>
      <c r="T1330" s="61"/>
      <c r="U1330" s="61"/>
      <c r="V1330" s="61"/>
      <c r="W1330" s="61"/>
      <c r="X1330" s="61"/>
      <c r="Y1330" s="61"/>
      <c r="Z1330" s="61"/>
    </row>
    <row r="1331" spans="1:26" ht="13">
      <c r="A1331" s="61"/>
      <c r="B1331" s="61"/>
      <c r="C1331" s="61"/>
      <c r="D1331" s="61"/>
      <c r="E1331" s="61"/>
      <c r="F1331" s="61"/>
      <c r="G1331" s="179"/>
      <c r="H1331" s="61"/>
      <c r="I1331" s="61"/>
      <c r="J1331" s="61"/>
      <c r="K1331" s="61"/>
      <c r="L1331" s="61"/>
      <c r="M1331" s="61"/>
      <c r="N1331" s="61"/>
      <c r="O1331" s="61"/>
      <c r="P1331" s="61"/>
      <c r="Q1331" s="61"/>
      <c r="R1331" s="61"/>
      <c r="S1331" s="61"/>
      <c r="T1331" s="61"/>
      <c r="U1331" s="61"/>
      <c r="V1331" s="61"/>
      <c r="W1331" s="61"/>
      <c r="X1331" s="61"/>
      <c r="Y1331" s="61"/>
      <c r="Z1331" s="61"/>
    </row>
    <row r="1332" spans="1:26" ht="13">
      <c r="A1332" s="61"/>
      <c r="B1332" s="61"/>
      <c r="C1332" s="61"/>
      <c r="D1332" s="61"/>
      <c r="E1332" s="61"/>
      <c r="F1332" s="61"/>
      <c r="G1332" s="179"/>
      <c r="H1332" s="61"/>
      <c r="I1332" s="61"/>
      <c r="J1332" s="61"/>
      <c r="K1332" s="61"/>
      <c r="L1332" s="61"/>
      <c r="M1332" s="61"/>
      <c r="N1332" s="61"/>
      <c r="O1332" s="61"/>
      <c r="P1332" s="61"/>
      <c r="Q1332" s="61"/>
      <c r="R1332" s="61"/>
      <c r="S1332" s="61"/>
      <c r="T1332" s="61"/>
      <c r="U1332" s="61"/>
      <c r="V1332" s="61"/>
      <c r="W1332" s="61"/>
      <c r="X1332" s="61"/>
      <c r="Y1332" s="61"/>
      <c r="Z1332" s="61"/>
    </row>
    <row r="1333" spans="1:26" ht="13">
      <c r="A1333" s="61"/>
      <c r="B1333" s="61"/>
      <c r="C1333" s="61"/>
      <c r="D1333" s="61"/>
      <c r="E1333" s="61"/>
      <c r="F1333" s="61"/>
      <c r="G1333" s="179"/>
      <c r="H1333" s="61"/>
      <c r="I1333" s="61"/>
      <c r="J1333" s="61"/>
      <c r="K1333" s="61"/>
      <c r="L1333" s="61"/>
      <c r="M1333" s="61"/>
      <c r="N1333" s="61"/>
      <c r="O1333" s="61"/>
      <c r="P1333" s="61"/>
      <c r="Q1333" s="61"/>
      <c r="R1333" s="61"/>
      <c r="S1333" s="61"/>
      <c r="T1333" s="61"/>
      <c r="U1333" s="61"/>
      <c r="V1333" s="61"/>
      <c r="W1333" s="61"/>
      <c r="X1333" s="61"/>
      <c r="Y1333" s="61"/>
      <c r="Z1333" s="61"/>
    </row>
    <row r="1334" spans="1:26" ht="13">
      <c r="A1334" s="61"/>
      <c r="B1334" s="61"/>
      <c r="C1334" s="61"/>
      <c r="D1334" s="61"/>
      <c r="E1334" s="61"/>
      <c r="F1334" s="61"/>
      <c r="G1334" s="179"/>
      <c r="H1334" s="61"/>
      <c r="I1334" s="61"/>
      <c r="J1334" s="61"/>
      <c r="K1334" s="61"/>
      <c r="L1334" s="61"/>
      <c r="M1334" s="61"/>
      <c r="N1334" s="61"/>
      <c r="O1334" s="61"/>
      <c r="P1334" s="61"/>
      <c r="Q1334" s="61"/>
      <c r="R1334" s="61"/>
      <c r="S1334" s="61"/>
      <c r="T1334" s="61"/>
      <c r="U1334" s="61"/>
      <c r="V1334" s="61"/>
      <c r="W1334" s="61"/>
      <c r="X1334" s="61"/>
      <c r="Y1334" s="61"/>
      <c r="Z1334" s="61"/>
    </row>
    <row r="1335" spans="1:26" ht="13">
      <c r="A1335" s="61"/>
      <c r="B1335" s="61"/>
      <c r="C1335" s="61"/>
      <c r="D1335" s="61"/>
      <c r="E1335" s="61"/>
      <c r="F1335" s="61"/>
      <c r="G1335" s="179"/>
      <c r="H1335" s="61"/>
      <c r="I1335" s="61"/>
      <c r="J1335" s="61"/>
      <c r="K1335" s="61"/>
      <c r="L1335" s="61"/>
      <c r="M1335" s="61"/>
      <c r="N1335" s="61"/>
      <c r="O1335" s="61"/>
      <c r="P1335" s="61"/>
      <c r="Q1335" s="61"/>
      <c r="R1335" s="61"/>
      <c r="S1335" s="61"/>
      <c r="T1335" s="61"/>
      <c r="U1335" s="61"/>
      <c r="V1335" s="61"/>
      <c r="W1335" s="61"/>
      <c r="X1335" s="61"/>
      <c r="Y1335" s="61"/>
      <c r="Z1335" s="61"/>
    </row>
    <row r="1336" spans="1:26" ht="13">
      <c r="A1336" s="61"/>
      <c r="B1336" s="61"/>
      <c r="C1336" s="61"/>
      <c r="D1336" s="61"/>
      <c r="E1336" s="61"/>
      <c r="F1336" s="61"/>
      <c r="G1336" s="179"/>
      <c r="H1336" s="61"/>
      <c r="I1336" s="61"/>
      <c r="J1336" s="61"/>
      <c r="K1336" s="61"/>
      <c r="L1336" s="61"/>
      <c r="M1336" s="61"/>
      <c r="N1336" s="61"/>
      <c r="O1336" s="61"/>
      <c r="P1336" s="61"/>
      <c r="Q1336" s="61"/>
      <c r="R1336" s="61"/>
      <c r="S1336" s="61"/>
      <c r="T1336" s="61"/>
      <c r="U1336" s="61"/>
      <c r="V1336" s="61"/>
      <c r="W1336" s="61"/>
      <c r="X1336" s="61"/>
      <c r="Y1336" s="61"/>
      <c r="Z1336" s="61"/>
    </row>
    <row r="1337" spans="1:26" ht="13">
      <c r="A1337" s="61"/>
      <c r="B1337" s="61"/>
      <c r="C1337" s="61"/>
      <c r="D1337" s="61"/>
      <c r="E1337" s="61"/>
      <c r="F1337" s="61"/>
      <c r="G1337" s="179"/>
      <c r="H1337" s="61"/>
      <c r="I1337" s="61"/>
      <c r="J1337" s="61"/>
      <c r="K1337" s="61"/>
      <c r="L1337" s="61"/>
      <c r="M1337" s="61"/>
      <c r="N1337" s="61"/>
      <c r="O1337" s="61"/>
      <c r="P1337" s="61"/>
      <c r="Q1337" s="61"/>
      <c r="R1337" s="61"/>
      <c r="S1337" s="61"/>
      <c r="T1337" s="61"/>
      <c r="U1337" s="61"/>
      <c r="V1337" s="61"/>
      <c r="W1337" s="61"/>
      <c r="X1337" s="61"/>
      <c r="Y1337" s="61"/>
      <c r="Z1337" s="61"/>
    </row>
    <row r="1338" spans="1:26" ht="13">
      <c r="A1338" s="61"/>
      <c r="B1338" s="61"/>
      <c r="C1338" s="61"/>
      <c r="D1338" s="61"/>
      <c r="E1338" s="61"/>
      <c r="F1338" s="61"/>
      <c r="G1338" s="179"/>
      <c r="H1338" s="61"/>
      <c r="I1338" s="61"/>
      <c r="J1338" s="61"/>
      <c r="K1338" s="61"/>
      <c r="L1338" s="61"/>
      <c r="M1338" s="61"/>
      <c r="N1338" s="61"/>
      <c r="O1338" s="61"/>
      <c r="P1338" s="61"/>
      <c r="Q1338" s="61"/>
      <c r="R1338" s="61"/>
      <c r="S1338" s="61"/>
      <c r="T1338" s="61"/>
      <c r="U1338" s="61"/>
      <c r="V1338" s="61"/>
      <c r="W1338" s="61"/>
      <c r="X1338" s="61"/>
      <c r="Y1338" s="61"/>
      <c r="Z1338" s="61"/>
    </row>
    <row r="1339" spans="1:26" ht="13">
      <c r="A1339" s="61"/>
      <c r="B1339" s="61"/>
      <c r="C1339" s="61"/>
      <c r="D1339" s="61"/>
      <c r="E1339" s="61"/>
      <c r="F1339" s="61"/>
      <c r="G1339" s="179"/>
      <c r="H1339" s="61"/>
      <c r="I1339" s="61"/>
      <c r="J1339" s="61"/>
      <c r="K1339" s="61"/>
      <c r="L1339" s="61"/>
      <c r="M1339" s="61"/>
      <c r="N1339" s="61"/>
      <c r="O1339" s="61"/>
      <c r="P1339" s="61"/>
      <c r="Q1339" s="61"/>
      <c r="R1339" s="61"/>
      <c r="S1339" s="61"/>
      <c r="T1339" s="61"/>
      <c r="U1339" s="61"/>
      <c r="V1339" s="61"/>
      <c r="W1339" s="61"/>
      <c r="X1339" s="61"/>
      <c r="Y1339" s="61"/>
      <c r="Z1339" s="61"/>
    </row>
    <row r="1340" spans="1:26" ht="13">
      <c r="A1340" s="61"/>
      <c r="B1340" s="61"/>
      <c r="C1340" s="61"/>
      <c r="D1340" s="61"/>
      <c r="E1340" s="61"/>
      <c r="F1340" s="61"/>
      <c r="G1340" s="179"/>
      <c r="H1340" s="61"/>
      <c r="I1340" s="61"/>
      <c r="J1340" s="61"/>
      <c r="K1340" s="61"/>
      <c r="L1340" s="61"/>
      <c r="M1340" s="61"/>
      <c r="N1340" s="61"/>
      <c r="O1340" s="61"/>
      <c r="P1340" s="61"/>
      <c r="Q1340" s="61"/>
      <c r="R1340" s="61"/>
      <c r="S1340" s="61"/>
      <c r="T1340" s="61"/>
      <c r="U1340" s="61"/>
      <c r="V1340" s="61"/>
      <c r="W1340" s="61"/>
      <c r="X1340" s="61"/>
      <c r="Y1340" s="61"/>
      <c r="Z1340" s="61"/>
    </row>
    <row r="1341" spans="1:26" ht="13">
      <c r="A1341" s="61"/>
      <c r="B1341" s="61"/>
      <c r="C1341" s="61"/>
      <c r="D1341" s="61"/>
      <c r="E1341" s="61"/>
      <c r="F1341" s="61"/>
      <c r="G1341" s="179"/>
      <c r="H1341" s="61"/>
      <c r="I1341" s="61"/>
      <c r="J1341" s="61"/>
      <c r="K1341" s="61"/>
      <c r="L1341" s="61"/>
      <c r="M1341" s="61"/>
      <c r="N1341" s="61"/>
      <c r="O1341" s="61"/>
      <c r="P1341" s="61"/>
      <c r="Q1341" s="61"/>
      <c r="R1341" s="61"/>
      <c r="S1341" s="61"/>
      <c r="T1341" s="61"/>
      <c r="U1341" s="61"/>
      <c r="V1341" s="61"/>
      <c r="W1341" s="61"/>
      <c r="X1341" s="61"/>
      <c r="Y1341" s="61"/>
      <c r="Z1341" s="61"/>
    </row>
    <row r="1342" spans="1:26" ht="13">
      <c r="A1342" s="61"/>
      <c r="B1342" s="61"/>
      <c r="C1342" s="61"/>
      <c r="D1342" s="61"/>
      <c r="E1342" s="61"/>
      <c r="F1342" s="61"/>
      <c r="G1342" s="179"/>
      <c r="H1342" s="61"/>
      <c r="I1342" s="61"/>
      <c r="J1342" s="61"/>
      <c r="K1342" s="61"/>
      <c r="L1342" s="61"/>
      <c r="M1342" s="61"/>
      <c r="N1342" s="61"/>
      <c r="O1342" s="61"/>
      <c r="P1342" s="61"/>
      <c r="Q1342" s="61"/>
      <c r="R1342" s="61"/>
      <c r="S1342" s="61"/>
      <c r="T1342" s="61"/>
      <c r="U1342" s="61"/>
      <c r="V1342" s="61"/>
      <c r="W1342" s="61"/>
      <c r="X1342" s="61"/>
      <c r="Y1342" s="61"/>
      <c r="Z1342" s="61"/>
    </row>
    <row r="1343" spans="1:26" ht="13">
      <c r="A1343" s="61"/>
      <c r="B1343" s="61"/>
      <c r="C1343" s="61"/>
      <c r="D1343" s="61"/>
      <c r="E1343" s="61"/>
      <c r="F1343" s="61"/>
      <c r="G1343" s="179"/>
      <c r="H1343" s="61"/>
      <c r="I1343" s="61"/>
      <c r="J1343" s="61"/>
      <c r="K1343" s="61"/>
      <c r="L1343" s="61"/>
      <c r="M1343" s="61"/>
      <c r="N1343" s="61"/>
      <c r="O1343" s="61"/>
      <c r="P1343" s="61"/>
      <c r="Q1343" s="61"/>
      <c r="R1343" s="61"/>
      <c r="S1343" s="61"/>
      <c r="T1343" s="61"/>
      <c r="U1343" s="61"/>
      <c r="V1343" s="61"/>
      <c r="W1343" s="61"/>
      <c r="X1343" s="61"/>
      <c r="Y1343" s="61"/>
      <c r="Z1343" s="61"/>
    </row>
    <row r="1344" spans="1:26" ht="13">
      <c r="A1344" s="61"/>
      <c r="B1344" s="61"/>
      <c r="C1344" s="61"/>
      <c r="D1344" s="61"/>
      <c r="E1344" s="61"/>
      <c r="F1344" s="61"/>
      <c r="G1344" s="179"/>
      <c r="H1344" s="61"/>
      <c r="I1344" s="61"/>
      <c r="J1344" s="61"/>
      <c r="K1344" s="61"/>
      <c r="L1344" s="61"/>
      <c r="M1344" s="61"/>
      <c r="N1344" s="61"/>
      <c r="O1344" s="61"/>
      <c r="P1344" s="61"/>
      <c r="Q1344" s="61"/>
      <c r="R1344" s="61"/>
      <c r="S1344" s="61"/>
      <c r="T1344" s="61"/>
      <c r="U1344" s="61"/>
      <c r="V1344" s="61"/>
      <c r="W1344" s="61"/>
      <c r="X1344" s="61"/>
      <c r="Y1344" s="61"/>
      <c r="Z1344" s="61"/>
    </row>
    <row r="1345" spans="1:26" ht="13">
      <c r="A1345" s="61"/>
      <c r="B1345" s="61"/>
      <c r="C1345" s="61"/>
      <c r="D1345" s="61"/>
      <c r="E1345" s="61"/>
      <c r="F1345" s="61"/>
      <c r="G1345" s="179"/>
      <c r="H1345" s="61"/>
      <c r="I1345" s="61"/>
      <c r="J1345" s="61"/>
      <c r="K1345" s="61"/>
      <c r="L1345" s="61"/>
      <c r="M1345" s="61"/>
      <c r="N1345" s="61"/>
      <c r="O1345" s="61"/>
      <c r="P1345" s="61"/>
      <c r="Q1345" s="61"/>
      <c r="R1345" s="61"/>
      <c r="S1345" s="61"/>
      <c r="T1345" s="61"/>
      <c r="U1345" s="61"/>
      <c r="V1345" s="61"/>
      <c r="W1345" s="61"/>
      <c r="X1345" s="61"/>
      <c r="Y1345" s="61"/>
      <c r="Z1345" s="61"/>
    </row>
    <row r="1346" spans="1:26" ht="13">
      <c r="A1346" s="61"/>
      <c r="B1346" s="61"/>
      <c r="C1346" s="61"/>
      <c r="D1346" s="61"/>
      <c r="E1346" s="61"/>
      <c r="F1346" s="61"/>
      <c r="G1346" s="179"/>
      <c r="H1346" s="61"/>
      <c r="I1346" s="61"/>
      <c r="J1346" s="61"/>
      <c r="K1346" s="61"/>
      <c r="L1346" s="61"/>
      <c r="M1346" s="61"/>
      <c r="N1346" s="61"/>
      <c r="O1346" s="61"/>
      <c r="P1346" s="61"/>
      <c r="Q1346" s="61"/>
      <c r="R1346" s="61"/>
      <c r="S1346" s="61"/>
      <c r="T1346" s="61"/>
      <c r="U1346" s="61"/>
      <c r="V1346" s="61"/>
      <c r="W1346" s="61"/>
      <c r="X1346" s="61"/>
      <c r="Y1346" s="61"/>
      <c r="Z1346" s="61"/>
    </row>
    <row r="1347" spans="1:26" ht="13">
      <c r="A1347" s="61"/>
      <c r="B1347" s="61"/>
      <c r="C1347" s="61"/>
      <c r="D1347" s="61"/>
      <c r="E1347" s="61"/>
      <c r="F1347" s="61"/>
      <c r="G1347" s="179"/>
      <c r="H1347" s="61"/>
      <c r="I1347" s="61"/>
      <c r="J1347" s="61"/>
      <c r="K1347" s="61"/>
      <c r="L1347" s="61"/>
      <c r="M1347" s="61"/>
      <c r="N1347" s="61"/>
      <c r="O1347" s="61"/>
      <c r="P1347" s="61"/>
      <c r="Q1347" s="61"/>
      <c r="R1347" s="61"/>
      <c r="S1347" s="61"/>
      <c r="T1347" s="61"/>
      <c r="U1347" s="61"/>
      <c r="V1347" s="61"/>
      <c r="W1347" s="61"/>
      <c r="X1347" s="61"/>
      <c r="Y1347" s="61"/>
      <c r="Z1347" s="61"/>
    </row>
    <row r="1348" spans="1:26" ht="13">
      <c r="A1348" s="61"/>
      <c r="B1348" s="61"/>
      <c r="C1348" s="61"/>
      <c r="D1348" s="61"/>
      <c r="E1348" s="61"/>
      <c r="F1348" s="61"/>
      <c r="G1348" s="179"/>
      <c r="H1348" s="61"/>
      <c r="I1348" s="61"/>
      <c r="J1348" s="61"/>
      <c r="K1348" s="61"/>
      <c r="L1348" s="61"/>
      <c r="M1348" s="61"/>
      <c r="N1348" s="61"/>
      <c r="O1348" s="61"/>
      <c r="P1348" s="61"/>
      <c r="Q1348" s="61"/>
      <c r="R1348" s="61"/>
      <c r="S1348" s="61"/>
      <c r="T1348" s="61"/>
      <c r="U1348" s="61"/>
      <c r="V1348" s="61"/>
      <c r="W1348" s="61"/>
      <c r="X1348" s="61"/>
      <c r="Y1348" s="61"/>
      <c r="Z1348" s="61"/>
    </row>
    <row r="1349" spans="1:26" ht="13">
      <c r="A1349" s="61"/>
      <c r="B1349" s="61"/>
      <c r="C1349" s="61"/>
      <c r="D1349" s="61"/>
      <c r="E1349" s="61"/>
      <c r="F1349" s="61"/>
      <c r="G1349" s="179"/>
      <c r="H1349" s="61"/>
      <c r="I1349" s="61"/>
      <c r="J1349" s="61"/>
      <c r="K1349" s="61"/>
      <c r="L1349" s="61"/>
      <c r="M1349" s="61"/>
      <c r="N1349" s="61"/>
      <c r="O1349" s="61"/>
      <c r="P1349" s="61"/>
      <c r="Q1349" s="61"/>
      <c r="R1349" s="61"/>
      <c r="S1349" s="61"/>
      <c r="T1349" s="61"/>
      <c r="U1349" s="61"/>
      <c r="V1349" s="61"/>
      <c r="W1349" s="61"/>
      <c r="X1349" s="61"/>
      <c r="Y1349" s="61"/>
      <c r="Z1349" s="61"/>
    </row>
    <row r="1350" spans="1:26" ht="13">
      <c r="A1350" s="61"/>
      <c r="B1350" s="61"/>
      <c r="C1350" s="61"/>
      <c r="D1350" s="61"/>
      <c r="E1350" s="61"/>
      <c r="F1350" s="61"/>
      <c r="G1350" s="179"/>
      <c r="H1350" s="61"/>
      <c r="I1350" s="61"/>
      <c r="J1350" s="61"/>
      <c r="K1350" s="61"/>
      <c r="L1350" s="61"/>
      <c r="M1350" s="61"/>
      <c r="N1350" s="61"/>
      <c r="O1350" s="61"/>
      <c r="P1350" s="61"/>
      <c r="Q1350" s="61"/>
      <c r="R1350" s="61"/>
      <c r="S1350" s="61"/>
      <c r="T1350" s="61"/>
      <c r="U1350" s="61"/>
      <c r="V1350" s="61"/>
      <c r="W1350" s="61"/>
      <c r="X1350" s="61"/>
      <c r="Y1350" s="61"/>
      <c r="Z1350" s="61"/>
    </row>
    <row r="1351" spans="1:26" ht="13">
      <c r="A1351" s="61"/>
      <c r="B1351" s="61"/>
      <c r="C1351" s="61"/>
      <c r="D1351" s="61"/>
      <c r="E1351" s="61"/>
      <c r="F1351" s="61"/>
      <c r="G1351" s="179"/>
      <c r="H1351" s="61"/>
      <c r="I1351" s="61"/>
      <c r="J1351" s="61"/>
      <c r="K1351" s="61"/>
      <c r="L1351" s="61"/>
      <c r="M1351" s="61"/>
      <c r="N1351" s="61"/>
      <c r="O1351" s="61"/>
      <c r="P1351" s="61"/>
      <c r="Q1351" s="61"/>
      <c r="R1351" s="61"/>
      <c r="S1351" s="61"/>
      <c r="T1351" s="61"/>
      <c r="U1351" s="61"/>
      <c r="V1351" s="61"/>
      <c r="W1351" s="61"/>
      <c r="X1351" s="61"/>
      <c r="Y1351" s="61"/>
      <c r="Z1351" s="61"/>
    </row>
    <row r="1352" spans="1:26" ht="13">
      <c r="A1352" s="61"/>
      <c r="B1352" s="61"/>
      <c r="C1352" s="61"/>
      <c r="D1352" s="61"/>
      <c r="E1352" s="61"/>
      <c r="F1352" s="61"/>
      <c r="G1352" s="179"/>
      <c r="H1352" s="61"/>
      <c r="I1352" s="61"/>
      <c r="J1352" s="61"/>
      <c r="K1352" s="61"/>
      <c r="L1352" s="61"/>
      <c r="M1352" s="61"/>
      <c r="N1352" s="61"/>
      <c r="O1352" s="61"/>
      <c r="P1352" s="61"/>
      <c r="Q1352" s="61"/>
      <c r="R1352" s="61"/>
      <c r="S1352" s="61"/>
      <c r="T1352" s="61"/>
      <c r="U1352" s="61"/>
      <c r="V1352" s="61"/>
      <c r="W1352" s="61"/>
      <c r="X1352" s="61"/>
      <c r="Y1352" s="61"/>
      <c r="Z1352" s="61"/>
    </row>
    <row r="1353" spans="1:26" ht="13">
      <c r="A1353" s="61"/>
      <c r="B1353" s="61"/>
      <c r="C1353" s="61"/>
      <c r="D1353" s="61"/>
      <c r="E1353" s="61"/>
      <c r="F1353" s="61"/>
      <c r="G1353" s="179"/>
      <c r="H1353" s="61"/>
      <c r="I1353" s="61"/>
      <c r="J1353" s="61"/>
      <c r="K1353" s="61"/>
      <c r="L1353" s="61"/>
      <c r="M1353" s="61"/>
      <c r="N1353" s="61"/>
      <c r="O1353" s="61"/>
      <c r="P1353" s="61"/>
      <c r="Q1353" s="61"/>
      <c r="R1353" s="61"/>
      <c r="S1353" s="61"/>
      <c r="T1353" s="61"/>
      <c r="U1353" s="61"/>
      <c r="V1353" s="61"/>
      <c r="W1353" s="61"/>
      <c r="X1353" s="61"/>
      <c r="Y1353" s="61"/>
      <c r="Z1353" s="61"/>
    </row>
    <row r="1354" spans="1:26" ht="13">
      <c r="A1354" s="61"/>
      <c r="B1354" s="61"/>
      <c r="C1354" s="61"/>
      <c r="D1354" s="61"/>
      <c r="E1354" s="61"/>
      <c r="F1354" s="61"/>
      <c r="G1354" s="179"/>
      <c r="H1354" s="61"/>
      <c r="I1354" s="61"/>
      <c r="J1354" s="61"/>
      <c r="K1354" s="61"/>
      <c r="L1354" s="61"/>
      <c r="M1354" s="61"/>
      <c r="N1354" s="61"/>
      <c r="O1354" s="61"/>
      <c r="P1354" s="61"/>
      <c r="Q1354" s="61"/>
      <c r="R1354" s="61"/>
      <c r="S1354" s="61"/>
      <c r="T1354" s="61"/>
      <c r="U1354" s="61"/>
      <c r="V1354" s="61"/>
      <c r="W1354" s="61"/>
      <c r="X1354" s="61"/>
      <c r="Y1354" s="61"/>
      <c r="Z1354" s="61"/>
    </row>
    <row r="1355" spans="1:26" ht="13">
      <c r="A1355" s="61"/>
      <c r="B1355" s="61"/>
      <c r="C1355" s="61"/>
      <c r="D1355" s="61"/>
      <c r="E1355" s="61"/>
      <c r="F1355" s="61"/>
      <c r="G1355" s="179"/>
      <c r="H1355" s="61"/>
      <c r="I1355" s="61"/>
      <c r="J1355" s="61"/>
      <c r="K1355" s="61"/>
      <c r="L1355" s="61"/>
      <c r="M1355" s="61"/>
      <c r="N1355" s="61"/>
      <c r="O1355" s="61"/>
      <c r="P1355" s="61"/>
      <c r="Q1355" s="61"/>
      <c r="R1355" s="61"/>
      <c r="S1355" s="61"/>
      <c r="T1355" s="61"/>
      <c r="U1355" s="61"/>
      <c r="V1355" s="61"/>
      <c r="W1355" s="61"/>
      <c r="X1355" s="61"/>
      <c r="Y1355" s="61"/>
      <c r="Z1355" s="61"/>
    </row>
    <row r="1356" spans="1:26" ht="13">
      <c r="A1356" s="61"/>
      <c r="B1356" s="61"/>
      <c r="C1356" s="61"/>
      <c r="D1356" s="61"/>
      <c r="E1356" s="61"/>
      <c r="F1356" s="61"/>
      <c r="G1356" s="179"/>
      <c r="H1356" s="61"/>
      <c r="I1356" s="61"/>
      <c r="J1356" s="61"/>
      <c r="K1356" s="61"/>
      <c r="L1356" s="61"/>
      <c r="M1356" s="61"/>
      <c r="N1356" s="61"/>
      <c r="O1356" s="61"/>
      <c r="P1356" s="61"/>
      <c r="Q1356" s="61"/>
      <c r="R1356" s="61"/>
      <c r="S1356" s="61"/>
      <c r="T1356" s="61"/>
      <c r="U1356" s="61"/>
      <c r="V1356" s="61"/>
      <c r="W1356" s="61"/>
      <c r="X1356" s="61"/>
      <c r="Y1356" s="61"/>
      <c r="Z1356" s="61"/>
    </row>
    <row r="1357" spans="1:26" ht="13">
      <c r="A1357" s="61"/>
      <c r="B1357" s="61"/>
      <c r="C1357" s="61"/>
      <c r="D1357" s="61"/>
      <c r="E1357" s="61"/>
      <c r="F1357" s="61"/>
      <c r="G1357" s="179"/>
      <c r="H1357" s="61"/>
      <c r="I1357" s="61"/>
      <c r="J1357" s="61"/>
      <c r="K1357" s="61"/>
      <c r="L1357" s="61"/>
      <c r="M1357" s="61"/>
      <c r="N1357" s="61"/>
      <c r="O1357" s="61"/>
      <c r="P1357" s="61"/>
      <c r="Q1357" s="61"/>
      <c r="R1357" s="61"/>
      <c r="S1357" s="61"/>
      <c r="T1357" s="61"/>
      <c r="U1357" s="61"/>
      <c r="V1357" s="61"/>
      <c r="W1357" s="61"/>
      <c r="X1357" s="61"/>
      <c r="Y1357" s="61"/>
      <c r="Z1357" s="61"/>
    </row>
    <row r="1358" spans="1:26" ht="13">
      <c r="A1358" s="61"/>
      <c r="B1358" s="61"/>
      <c r="C1358" s="61"/>
      <c r="D1358" s="61"/>
      <c r="E1358" s="61"/>
      <c r="F1358" s="61"/>
      <c r="G1358" s="179"/>
      <c r="H1358" s="61"/>
      <c r="I1358" s="61"/>
      <c r="J1358" s="61"/>
      <c r="K1358" s="61"/>
      <c r="L1358" s="61"/>
      <c r="M1358" s="61"/>
      <c r="N1358" s="61"/>
      <c r="O1358" s="61"/>
      <c r="P1358" s="61"/>
      <c r="Q1358" s="61"/>
      <c r="R1358" s="61"/>
      <c r="S1358" s="61"/>
      <c r="T1358" s="61"/>
      <c r="U1358" s="61"/>
      <c r="V1358" s="61"/>
      <c r="W1358" s="61"/>
      <c r="X1358" s="61"/>
      <c r="Y1358" s="61"/>
      <c r="Z1358" s="61"/>
    </row>
    <row r="1359" spans="1:26" ht="13">
      <c r="A1359" s="61"/>
      <c r="B1359" s="61"/>
      <c r="C1359" s="61"/>
      <c r="D1359" s="61"/>
      <c r="E1359" s="61"/>
      <c r="F1359" s="61"/>
      <c r="G1359" s="179"/>
      <c r="H1359" s="61"/>
      <c r="I1359" s="61"/>
      <c r="J1359" s="61"/>
      <c r="K1359" s="61"/>
      <c r="L1359" s="61"/>
      <c r="M1359" s="61"/>
      <c r="N1359" s="61"/>
      <c r="O1359" s="61"/>
      <c r="P1359" s="61"/>
      <c r="Q1359" s="61"/>
      <c r="R1359" s="61"/>
      <c r="S1359" s="61"/>
      <c r="T1359" s="61"/>
      <c r="U1359" s="61"/>
      <c r="V1359" s="61"/>
      <c r="W1359" s="61"/>
      <c r="X1359" s="61"/>
      <c r="Y1359" s="61"/>
      <c r="Z1359" s="61"/>
    </row>
    <row r="1360" spans="1:26" ht="13">
      <c r="A1360" s="61"/>
      <c r="B1360" s="61"/>
      <c r="C1360" s="61"/>
      <c r="D1360" s="61"/>
      <c r="E1360" s="61"/>
      <c r="F1360" s="61"/>
      <c r="G1360" s="179"/>
      <c r="H1360" s="61"/>
      <c r="I1360" s="61"/>
      <c r="J1360" s="61"/>
      <c r="K1360" s="61"/>
      <c r="L1360" s="61"/>
      <c r="M1360" s="61"/>
      <c r="N1360" s="61"/>
      <c r="O1360" s="61"/>
      <c r="P1360" s="61"/>
      <c r="Q1360" s="61"/>
      <c r="R1360" s="61"/>
      <c r="S1360" s="61"/>
      <c r="T1360" s="61"/>
      <c r="U1360" s="61"/>
      <c r="V1360" s="61"/>
      <c r="W1360" s="61"/>
      <c r="X1360" s="61"/>
      <c r="Y1360" s="61"/>
      <c r="Z1360" s="61"/>
    </row>
    <row r="1361" spans="1:26" ht="13">
      <c r="A1361" s="61"/>
      <c r="B1361" s="61"/>
      <c r="C1361" s="61"/>
      <c r="D1361" s="61"/>
      <c r="E1361" s="61"/>
      <c r="F1361" s="61"/>
      <c r="G1361" s="179"/>
      <c r="H1361" s="61"/>
      <c r="I1361" s="61"/>
      <c r="J1361" s="61"/>
      <c r="K1361" s="61"/>
      <c r="L1361" s="61"/>
      <c r="M1361" s="61"/>
      <c r="N1361" s="61"/>
      <c r="O1361" s="61"/>
      <c r="P1361" s="61"/>
      <c r="Q1361" s="61"/>
      <c r="R1361" s="61"/>
      <c r="S1361" s="61"/>
      <c r="T1361" s="61"/>
      <c r="U1361" s="61"/>
      <c r="V1361" s="61"/>
      <c r="W1361" s="61"/>
      <c r="X1361" s="61"/>
      <c r="Y1361" s="61"/>
      <c r="Z1361" s="61"/>
    </row>
    <row r="1362" spans="1:26" ht="13">
      <c r="A1362" s="61"/>
      <c r="B1362" s="61"/>
      <c r="C1362" s="61"/>
      <c r="D1362" s="61"/>
      <c r="E1362" s="61"/>
      <c r="F1362" s="61"/>
      <c r="G1362" s="179"/>
      <c r="H1362" s="61"/>
      <c r="I1362" s="61"/>
      <c r="J1362" s="61"/>
      <c r="K1362" s="61"/>
      <c r="L1362" s="61"/>
      <c r="M1362" s="61"/>
      <c r="N1362" s="61"/>
      <c r="O1362" s="61"/>
      <c r="P1362" s="61"/>
      <c r="Q1362" s="61"/>
      <c r="R1362" s="61"/>
      <c r="S1362" s="61"/>
      <c r="T1362" s="61"/>
      <c r="U1362" s="61"/>
      <c r="V1362" s="61"/>
      <c r="W1362" s="61"/>
      <c r="X1362" s="61"/>
      <c r="Y1362" s="61"/>
      <c r="Z1362" s="61"/>
    </row>
    <row r="1363" spans="1:26" ht="13">
      <c r="A1363" s="61"/>
      <c r="B1363" s="61"/>
      <c r="C1363" s="61"/>
      <c r="D1363" s="61"/>
      <c r="E1363" s="61"/>
      <c r="F1363" s="61"/>
      <c r="G1363" s="179"/>
      <c r="H1363" s="61"/>
      <c r="I1363" s="61"/>
      <c r="J1363" s="61"/>
      <c r="K1363" s="61"/>
      <c r="L1363" s="61"/>
      <c r="M1363" s="61"/>
      <c r="N1363" s="61"/>
      <c r="O1363" s="61"/>
      <c r="P1363" s="61"/>
      <c r="Q1363" s="61"/>
      <c r="R1363" s="61"/>
      <c r="S1363" s="61"/>
      <c r="T1363" s="61"/>
      <c r="U1363" s="61"/>
      <c r="V1363" s="61"/>
      <c r="W1363" s="61"/>
      <c r="X1363" s="61"/>
      <c r="Y1363" s="61"/>
      <c r="Z1363" s="61"/>
    </row>
    <row r="1364" spans="1:26" ht="13">
      <c r="A1364" s="61"/>
      <c r="B1364" s="61"/>
      <c r="C1364" s="61"/>
      <c r="D1364" s="61"/>
      <c r="E1364" s="61"/>
      <c r="F1364" s="61"/>
      <c r="G1364" s="179"/>
      <c r="H1364" s="61"/>
      <c r="I1364" s="61"/>
      <c r="J1364" s="61"/>
      <c r="K1364" s="61"/>
      <c r="L1364" s="61"/>
      <c r="M1364" s="61"/>
      <c r="N1364" s="61"/>
      <c r="O1364" s="61"/>
      <c r="P1364" s="61"/>
      <c r="Q1364" s="61"/>
      <c r="R1364" s="61"/>
      <c r="S1364" s="61"/>
      <c r="T1364" s="61"/>
      <c r="U1364" s="61"/>
      <c r="V1364" s="61"/>
      <c r="W1364" s="61"/>
      <c r="X1364" s="61"/>
      <c r="Y1364" s="61"/>
      <c r="Z1364" s="61"/>
    </row>
    <row r="1365" spans="1:26" ht="13">
      <c r="A1365" s="61"/>
      <c r="B1365" s="61"/>
      <c r="C1365" s="61"/>
      <c r="D1365" s="61"/>
      <c r="E1365" s="61"/>
      <c r="F1365" s="61"/>
      <c r="G1365" s="179"/>
      <c r="H1365" s="61"/>
      <c r="I1365" s="61"/>
      <c r="J1365" s="61"/>
      <c r="K1365" s="61"/>
      <c r="L1365" s="61"/>
      <c r="M1365" s="61"/>
      <c r="N1365" s="61"/>
      <c r="O1365" s="61"/>
      <c r="P1365" s="61"/>
      <c r="Q1365" s="61"/>
      <c r="R1365" s="61"/>
      <c r="S1365" s="61"/>
      <c r="T1365" s="61"/>
      <c r="U1365" s="61"/>
      <c r="V1365" s="61"/>
      <c r="W1365" s="61"/>
      <c r="X1365" s="61"/>
      <c r="Y1365" s="61"/>
      <c r="Z1365" s="61"/>
    </row>
    <row r="1366" spans="1:26" ht="13">
      <c r="A1366" s="61"/>
      <c r="B1366" s="61"/>
      <c r="C1366" s="61"/>
      <c r="D1366" s="61"/>
      <c r="E1366" s="61"/>
      <c r="F1366" s="61"/>
      <c r="G1366" s="179"/>
      <c r="H1366" s="61"/>
      <c r="I1366" s="61"/>
      <c r="J1366" s="61"/>
      <c r="K1366" s="61"/>
      <c r="L1366" s="61"/>
      <c r="M1366" s="61"/>
      <c r="N1366" s="61"/>
      <c r="O1366" s="61"/>
      <c r="P1366" s="61"/>
      <c r="Q1366" s="61"/>
      <c r="R1366" s="61"/>
      <c r="S1366" s="61"/>
      <c r="T1366" s="61"/>
      <c r="U1366" s="61"/>
      <c r="V1366" s="61"/>
      <c r="W1366" s="61"/>
      <c r="X1366" s="61"/>
      <c r="Y1366" s="61"/>
      <c r="Z1366" s="61"/>
    </row>
    <row r="1367" spans="1:26" ht="13">
      <c r="A1367" s="61"/>
      <c r="B1367" s="61"/>
      <c r="C1367" s="61"/>
      <c r="D1367" s="61"/>
      <c r="E1367" s="61"/>
      <c r="F1367" s="61"/>
      <c r="G1367" s="179"/>
      <c r="H1367" s="61"/>
      <c r="I1367" s="61"/>
      <c r="J1367" s="61"/>
      <c r="K1367" s="61"/>
      <c r="L1367" s="61"/>
      <c r="M1367" s="61"/>
      <c r="N1367" s="61"/>
      <c r="O1367" s="61"/>
      <c r="P1367" s="61"/>
      <c r="Q1367" s="61"/>
      <c r="R1367" s="61"/>
      <c r="S1367" s="61"/>
      <c r="T1367" s="61"/>
      <c r="U1367" s="61"/>
      <c r="V1367" s="61"/>
      <c r="W1367" s="61"/>
      <c r="X1367" s="61"/>
      <c r="Y1367" s="61"/>
      <c r="Z1367" s="61"/>
    </row>
    <row r="1368" spans="1:26" ht="13">
      <c r="A1368" s="61"/>
      <c r="B1368" s="61"/>
      <c r="C1368" s="61"/>
      <c r="D1368" s="61"/>
      <c r="E1368" s="61"/>
      <c r="F1368" s="61"/>
      <c r="G1368" s="179"/>
      <c r="H1368" s="61"/>
      <c r="I1368" s="61"/>
      <c r="J1368" s="61"/>
      <c r="K1368" s="61"/>
      <c r="L1368" s="61"/>
      <c r="M1368" s="61"/>
      <c r="N1368" s="61"/>
      <c r="O1368" s="61"/>
      <c r="P1368" s="61"/>
      <c r="Q1368" s="61"/>
      <c r="R1368" s="61"/>
      <c r="S1368" s="61"/>
      <c r="T1368" s="61"/>
      <c r="U1368" s="61"/>
      <c r="V1368" s="61"/>
      <c r="W1368" s="61"/>
      <c r="X1368" s="61"/>
      <c r="Y1368" s="61"/>
      <c r="Z1368" s="61"/>
    </row>
    <row r="1369" spans="1:26" ht="13">
      <c r="A1369" s="61"/>
      <c r="B1369" s="61"/>
      <c r="C1369" s="61"/>
      <c r="D1369" s="61"/>
      <c r="E1369" s="61"/>
      <c r="F1369" s="61"/>
      <c r="G1369" s="179"/>
      <c r="H1369" s="61"/>
      <c r="I1369" s="61"/>
      <c r="J1369" s="61"/>
      <c r="K1369" s="61"/>
      <c r="L1369" s="61"/>
      <c r="M1369" s="61"/>
      <c r="N1369" s="61"/>
      <c r="O1369" s="61"/>
      <c r="P1369" s="61"/>
      <c r="Q1369" s="61"/>
      <c r="R1369" s="61"/>
      <c r="S1369" s="61"/>
      <c r="T1369" s="61"/>
      <c r="U1369" s="61"/>
      <c r="V1369" s="61"/>
      <c r="W1369" s="61"/>
      <c r="X1369" s="61"/>
      <c r="Y1369" s="61"/>
      <c r="Z1369" s="61"/>
    </row>
    <row r="1370" spans="1:26" ht="13">
      <c r="A1370" s="61"/>
      <c r="B1370" s="61"/>
      <c r="C1370" s="61"/>
      <c r="D1370" s="61"/>
      <c r="E1370" s="61"/>
      <c r="F1370" s="61"/>
      <c r="G1370" s="179"/>
      <c r="H1370" s="61"/>
      <c r="I1370" s="61"/>
      <c r="J1370" s="61"/>
      <c r="K1370" s="61"/>
      <c r="L1370" s="61"/>
      <c r="M1370" s="61"/>
      <c r="N1370" s="61"/>
      <c r="O1370" s="61"/>
      <c r="P1370" s="61"/>
      <c r="Q1370" s="61"/>
      <c r="R1370" s="61"/>
      <c r="S1370" s="61"/>
      <c r="T1370" s="61"/>
      <c r="U1370" s="61"/>
      <c r="V1370" s="61"/>
      <c r="W1370" s="61"/>
      <c r="X1370" s="61"/>
      <c r="Y1370" s="61"/>
      <c r="Z1370" s="61"/>
    </row>
    <row r="1371" spans="1:26" ht="13">
      <c r="A1371" s="61"/>
      <c r="B1371" s="61"/>
      <c r="C1371" s="61"/>
      <c r="D1371" s="61"/>
      <c r="E1371" s="61"/>
      <c r="F1371" s="61"/>
      <c r="G1371" s="179"/>
      <c r="H1371" s="61"/>
      <c r="I1371" s="61"/>
      <c r="J1371" s="61"/>
      <c r="K1371" s="61"/>
      <c r="L1371" s="61"/>
      <c r="M1371" s="61"/>
      <c r="N1371" s="61"/>
      <c r="O1371" s="61"/>
      <c r="P1371" s="61"/>
      <c r="Q1371" s="61"/>
      <c r="R1371" s="61"/>
      <c r="S1371" s="61"/>
      <c r="T1371" s="61"/>
      <c r="U1371" s="61"/>
      <c r="V1371" s="61"/>
      <c r="W1371" s="61"/>
      <c r="X1371" s="61"/>
      <c r="Y1371" s="61"/>
      <c r="Z1371" s="61"/>
    </row>
    <row r="1372" spans="1:26" ht="13">
      <c r="A1372" s="61"/>
      <c r="B1372" s="61"/>
      <c r="C1372" s="61"/>
      <c r="D1372" s="61"/>
      <c r="E1372" s="61"/>
      <c r="F1372" s="61"/>
      <c r="G1372" s="179"/>
      <c r="H1372" s="61"/>
      <c r="I1372" s="61"/>
      <c r="J1372" s="61"/>
      <c r="K1372" s="61"/>
      <c r="L1372" s="61"/>
      <c r="M1372" s="61"/>
      <c r="N1372" s="61"/>
      <c r="O1372" s="61"/>
      <c r="P1372" s="61"/>
      <c r="Q1372" s="61"/>
      <c r="R1372" s="61"/>
      <c r="S1372" s="61"/>
      <c r="T1372" s="61"/>
      <c r="U1372" s="61"/>
      <c r="V1372" s="61"/>
      <c r="W1372" s="61"/>
      <c r="X1372" s="61"/>
      <c r="Y1372" s="61"/>
      <c r="Z1372" s="61"/>
    </row>
    <row r="1373" spans="1:26" ht="13">
      <c r="A1373" s="61"/>
      <c r="B1373" s="61"/>
      <c r="C1373" s="61"/>
      <c r="D1373" s="61"/>
      <c r="E1373" s="61"/>
      <c r="F1373" s="61"/>
      <c r="G1373" s="179"/>
      <c r="H1373" s="61"/>
      <c r="I1373" s="61"/>
      <c r="J1373" s="61"/>
      <c r="K1373" s="61"/>
      <c r="L1373" s="61"/>
      <c r="M1373" s="61"/>
      <c r="N1373" s="61"/>
      <c r="O1373" s="61"/>
      <c r="P1373" s="61"/>
      <c r="Q1373" s="61"/>
      <c r="R1373" s="61"/>
      <c r="S1373" s="61"/>
      <c r="T1373" s="61"/>
      <c r="U1373" s="61"/>
      <c r="V1373" s="61"/>
      <c r="W1373" s="61"/>
      <c r="X1373" s="61"/>
      <c r="Y1373" s="61"/>
      <c r="Z1373" s="61"/>
    </row>
    <row r="1374" spans="1:26" ht="13">
      <c r="A1374" s="61"/>
      <c r="B1374" s="61"/>
      <c r="C1374" s="61"/>
      <c r="D1374" s="61"/>
      <c r="E1374" s="61"/>
      <c r="F1374" s="61"/>
      <c r="G1374" s="179"/>
      <c r="H1374" s="61"/>
      <c r="I1374" s="61"/>
      <c r="J1374" s="61"/>
      <c r="K1374" s="61"/>
      <c r="L1374" s="61"/>
      <c r="M1374" s="61"/>
      <c r="N1374" s="61"/>
      <c r="O1374" s="61"/>
      <c r="P1374" s="61"/>
      <c r="Q1374" s="61"/>
      <c r="R1374" s="61"/>
      <c r="S1374" s="61"/>
      <c r="T1374" s="61"/>
      <c r="U1374" s="61"/>
      <c r="V1374" s="61"/>
      <c r="W1374" s="61"/>
      <c r="X1374" s="61"/>
      <c r="Y1374" s="61"/>
      <c r="Z1374" s="61"/>
    </row>
    <row r="1375" spans="1:26" ht="13">
      <c r="A1375" s="61"/>
      <c r="B1375" s="61"/>
      <c r="C1375" s="61"/>
      <c r="D1375" s="61"/>
      <c r="E1375" s="61"/>
      <c r="F1375" s="61"/>
      <c r="G1375" s="179"/>
      <c r="H1375" s="61"/>
      <c r="I1375" s="61"/>
      <c r="J1375" s="61"/>
      <c r="K1375" s="61"/>
      <c r="L1375" s="61"/>
      <c r="M1375" s="61"/>
      <c r="N1375" s="61"/>
      <c r="O1375" s="61"/>
      <c r="P1375" s="61"/>
      <c r="Q1375" s="61"/>
      <c r="R1375" s="61"/>
      <c r="S1375" s="61"/>
      <c r="T1375" s="61"/>
      <c r="U1375" s="61"/>
      <c r="V1375" s="61"/>
      <c r="W1375" s="61"/>
      <c r="X1375" s="61"/>
      <c r="Y1375" s="61"/>
      <c r="Z1375" s="61"/>
    </row>
    <row r="1376" spans="1:26" ht="13">
      <c r="A1376" s="61"/>
      <c r="B1376" s="61"/>
      <c r="C1376" s="61"/>
      <c r="D1376" s="61"/>
      <c r="E1376" s="61"/>
      <c r="F1376" s="61"/>
      <c r="G1376" s="179"/>
      <c r="H1376" s="61"/>
      <c r="I1376" s="61"/>
      <c r="J1376" s="61"/>
      <c r="K1376" s="61"/>
      <c r="L1376" s="61"/>
      <c r="M1376" s="61"/>
      <c r="N1376" s="61"/>
      <c r="O1376" s="61"/>
      <c r="P1376" s="61"/>
      <c r="Q1376" s="61"/>
      <c r="R1376" s="61"/>
      <c r="S1376" s="61"/>
      <c r="T1376" s="61"/>
      <c r="U1376" s="61"/>
      <c r="V1376" s="61"/>
      <c r="W1376" s="61"/>
      <c r="X1376" s="61"/>
      <c r="Y1376" s="61"/>
      <c r="Z1376" s="61"/>
    </row>
    <row r="1377" spans="1:26" ht="13">
      <c r="A1377" s="61"/>
      <c r="B1377" s="61"/>
      <c r="C1377" s="61"/>
      <c r="D1377" s="61"/>
      <c r="E1377" s="61"/>
      <c r="F1377" s="61"/>
      <c r="G1377" s="179"/>
      <c r="H1377" s="61"/>
      <c r="I1377" s="61"/>
      <c r="J1377" s="61"/>
      <c r="K1377" s="61"/>
      <c r="L1377" s="61"/>
      <c r="M1377" s="61"/>
      <c r="N1377" s="61"/>
      <c r="O1377" s="61"/>
      <c r="P1377" s="61"/>
      <c r="Q1377" s="61"/>
      <c r="R1377" s="61"/>
      <c r="S1377" s="61"/>
      <c r="T1377" s="61"/>
      <c r="U1377" s="61"/>
      <c r="V1377" s="61"/>
      <c r="W1377" s="61"/>
      <c r="X1377" s="61"/>
      <c r="Y1377" s="61"/>
      <c r="Z1377" s="61"/>
    </row>
    <row r="1378" spans="1:26" ht="13">
      <c r="A1378" s="61"/>
      <c r="B1378" s="61"/>
      <c r="C1378" s="61"/>
      <c r="D1378" s="61"/>
      <c r="E1378" s="61"/>
      <c r="F1378" s="61"/>
      <c r="G1378" s="179"/>
      <c r="H1378" s="61"/>
      <c r="I1378" s="61"/>
      <c r="J1378" s="61"/>
      <c r="K1378" s="61"/>
      <c r="L1378" s="61"/>
      <c r="M1378" s="61"/>
      <c r="N1378" s="61"/>
      <c r="O1378" s="61"/>
      <c r="P1378" s="61"/>
      <c r="Q1378" s="61"/>
      <c r="R1378" s="61"/>
      <c r="S1378" s="61"/>
      <c r="T1378" s="61"/>
      <c r="U1378" s="61"/>
      <c r="V1378" s="61"/>
      <c r="W1378" s="61"/>
      <c r="X1378" s="61"/>
      <c r="Y1378" s="61"/>
      <c r="Z1378" s="61"/>
    </row>
    <row r="1379" spans="1:26" ht="13">
      <c r="A1379" s="61"/>
      <c r="B1379" s="61"/>
      <c r="C1379" s="61"/>
      <c r="D1379" s="61"/>
      <c r="E1379" s="61"/>
      <c r="F1379" s="61"/>
      <c r="G1379" s="179"/>
      <c r="H1379" s="61"/>
      <c r="I1379" s="61"/>
      <c r="J1379" s="61"/>
      <c r="K1379" s="61"/>
      <c r="L1379" s="61"/>
      <c r="M1379" s="61"/>
      <c r="N1379" s="61"/>
      <c r="O1379" s="61"/>
      <c r="P1379" s="61"/>
      <c r="Q1379" s="61"/>
      <c r="R1379" s="61"/>
      <c r="S1379" s="61"/>
      <c r="T1379" s="61"/>
      <c r="U1379" s="61"/>
      <c r="V1379" s="61"/>
      <c r="W1379" s="61"/>
      <c r="X1379" s="61"/>
      <c r="Y1379" s="61"/>
      <c r="Z1379" s="61"/>
    </row>
    <row r="1380" spans="1:26" ht="13">
      <c r="A1380" s="61"/>
      <c r="B1380" s="61"/>
      <c r="C1380" s="61"/>
      <c r="D1380" s="61"/>
      <c r="E1380" s="61"/>
      <c r="F1380" s="61"/>
      <c r="G1380" s="179"/>
      <c r="H1380" s="61"/>
      <c r="I1380" s="61"/>
      <c r="J1380" s="61"/>
      <c r="K1380" s="61"/>
      <c r="L1380" s="61"/>
      <c r="M1380" s="61"/>
      <c r="N1380" s="61"/>
      <c r="O1380" s="61"/>
      <c r="P1380" s="61"/>
      <c r="Q1380" s="61"/>
      <c r="R1380" s="61"/>
      <c r="S1380" s="61"/>
      <c r="T1380" s="61"/>
      <c r="U1380" s="61"/>
      <c r="V1380" s="61"/>
      <c r="W1380" s="61"/>
      <c r="X1380" s="61"/>
      <c r="Y1380" s="61"/>
      <c r="Z1380" s="61"/>
    </row>
    <row r="1381" spans="1:26" ht="13">
      <c r="A1381" s="61"/>
      <c r="B1381" s="61"/>
      <c r="C1381" s="61"/>
      <c r="D1381" s="61"/>
      <c r="E1381" s="61"/>
      <c r="F1381" s="61"/>
      <c r="G1381" s="179"/>
      <c r="H1381" s="61"/>
      <c r="I1381" s="61"/>
      <c r="J1381" s="61"/>
      <c r="K1381" s="61"/>
      <c r="L1381" s="61"/>
      <c r="M1381" s="61"/>
      <c r="N1381" s="61"/>
      <c r="O1381" s="61"/>
      <c r="P1381" s="61"/>
      <c r="Q1381" s="61"/>
      <c r="R1381" s="61"/>
      <c r="S1381" s="61"/>
      <c r="T1381" s="61"/>
      <c r="U1381" s="61"/>
      <c r="V1381" s="61"/>
      <c r="W1381" s="61"/>
      <c r="X1381" s="61"/>
      <c r="Y1381" s="61"/>
      <c r="Z1381" s="61"/>
    </row>
    <row r="1382" spans="1:26" ht="13">
      <c r="A1382" s="61"/>
      <c r="B1382" s="61"/>
      <c r="C1382" s="61"/>
      <c r="D1382" s="61"/>
      <c r="E1382" s="61"/>
      <c r="F1382" s="61"/>
      <c r="G1382" s="179"/>
      <c r="H1382" s="61"/>
      <c r="I1382" s="61"/>
      <c r="J1382" s="61"/>
      <c r="K1382" s="61"/>
      <c r="L1382" s="61"/>
      <c r="M1382" s="61"/>
      <c r="N1382" s="61"/>
      <c r="O1382" s="61"/>
      <c r="P1382" s="61"/>
      <c r="Q1382" s="61"/>
      <c r="R1382" s="61"/>
      <c r="S1382" s="61"/>
      <c r="T1382" s="61"/>
      <c r="U1382" s="61"/>
      <c r="V1382" s="61"/>
      <c r="W1382" s="61"/>
      <c r="X1382" s="61"/>
      <c r="Y1382" s="61"/>
      <c r="Z1382" s="61"/>
    </row>
    <row r="1383" spans="1:26" ht="13">
      <c r="A1383" s="61"/>
      <c r="B1383" s="61"/>
      <c r="C1383" s="61"/>
      <c r="D1383" s="61"/>
      <c r="E1383" s="61"/>
      <c r="F1383" s="61"/>
      <c r="G1383" s="179"/>
      <c r="H1383" s="61"/>
      <c r="I1383" s="61"/>
      <c r="J1383" s="61"/>
      <c r="K1383" s="61"/>
      <c r="L1383" s="61"/>
      <c r="M1383" s="61"/>
      <c r="N1383" s="61"/>
      <c r="O1383" s="61"/>
      <c r="P1383" s="61"/>
      <c r="Q1383" s="61"/>
      <c r="R1383" s="61"/>
      <c r="S1383" s="61"/>
      <c r="T1383" s="61"/>
      <c r="U1383" s="61"/>
      <c r="V1383" s="61"/>
      <c r="W1383" s="61"/>
      <c r="X1383" s="61"/>
      <c r="Y1383" s="61"/>
      <c r="Z1383" s="61"/>
    </row>
    <row r="1384" spans="1:26" ht="13">
      <c r="A1384" s="61"/>
      <c r="B1384" s="61"/>
      <c r="C1384" s="61"/>
      <c r="D1384" s="61"/>
      <c r="E1384" s="61"/>
      <c r="F1384" s="61"/>
      <c r="G1384" s="179"/>
      <c r="H1384" s="61"/>
      <c r="I1384" s="61"/>
      <c r="J1384" s="61"/>
      <c r="K1384" s="61"/>
      <c r="L1384" s="61"/>
      <c r="M1384" s="61"/>
      <c r="N1384" s="61"/>
      <c r="O1384" s="61"/>
      <c r="P1384" s="61"/>
      <c r="Q1384" s="61"/>
      <c r="R1384" s="61"/>
      <c r="S1384" s="61"/>
      <c r="T1384" s="61"/>
      <c r="U1384" s="61"/>
      <c r="V1384" s="61"/>
      <c r="W1384" s="61"/>
      <c r="X1384" s="61"/>
      <c r="Y1384" s="61"/>
      <c r="Z1384" s="61"/>
    </row>
    <row r="1385" spans="1:26" ht="13">
      <c r="A1385" s="61"/>
      <c r="B1385" s="61"/>
      <c r="C1385" s="61"/>
      <c r="D1385" s="61"/>
      <c r="E1385" s="61"/>
      <c r="F1385" s="61"/>
      <c r="G1385" s="179"/>
      <c r="H1385" s="61"/>
      <c r="I1385" s="61"/>
      <c r="J1385" s="61"/>
      <c r="K1385" s="61"/>
      <c r="L1385" s="61"/>
      <c r="M1385" s="61"/>
      <c r="N1385" s="61"/>
      <c r="O1385" s="61"/>
      <c r="P1385" s="61"/>
      <c r="Q1385" s="61"/>
      <c r="R1385" s="61"/>
      <c r="S1385" s="61"/>
      <c r="T1385" s="61"/>
      <c r="U1385" s="61"/>
      <c r="V1385" s="61"/>
      <c r="W1385" s="61"/>
      <c r="X1385" s="61"/>
      <c r="Y1385" s="61"/>
      <c r="Z1385" s="61"/>
    </row>
    <row r="1386" spans="1:26" ht="13">
      <c r="A1386" s="61"/>
      <c r="B1386" s="61"/>
      <c r="C1386" s="61"/>
      <c r="D1386" s="61"/>
      <c r="E1386" s="61"/>
      <c r="F1386" s="61"/>
      <c r="G1386" s="179"/>
      <c r="H1386" s="61"/>
      <c r="I1386" s="61"/>
      <c r="J1386" s="61"/>
      <c r="K1386" s="61"/>
      <c r="L1386" s="61"/>
      <c r="M1386" s="61"/>
      <c r="N1386" s="61"/>
      <c r="O1386" s="61"/>
      <c r="P1386" s="61"/>
      <c r="Q1386" s="61"/>
      <c r="R1386" s="61"/>
      <c r="S1386" s="61"/>
      <c r="T1386" s="61"/>
      <c r="U1386" s="61"/>
      <c r="V1386" s="61"/>
      <c r="W1386" s="61"/>
      <c r="X1386" s="61"/>
      <c r="Y1386" s="61"/>
      <c r="Z1386" s="61"/>
    </row>
    <row r="1387" spans="1:26" ht="13">
      <c r="A1387" s="61"/>
      <c r="B1387" s="61"/>
      <c r="C1387" s="61"/>
      <c r="D1387" s="61"/>
      <c r="E1387" s="61"/>
      <c r="F1387" s="61"/>
      <c r="G1387" s="179"/>
      <c r="H1387" s="61"/>
      <c r="I1387" s="61"/>
      <c r="J1387" s="61"/>
      <c r="K1387" s="61"/>
      <c r="L1387" s="61"/>
      <c r="M1387" s="61"/>
      <c r="N1387" s="61"/>
      <c r="O1387" s="61"/>
      <c r="P1387" s="61"/>
      <c r="Q1387" s="61"/>
      <c r="R1387" s="61"/>
      <c r="S1387" s="61"/>
      <c r="T1387" s="61"/>
      <c r="U1387" s="61"/>
      <c r="V1387" s="61"/>
      <c r="W1387" s="61"/>
      <c r="X1387" s="61"/>
      <c r="Y1387" s="61"/>
      <c r="Z1387" s="61"/>
    </row>
    <row r="1388" spans="1:26" ht="13">
      <c r="A1388" s="61"/>
      <c r="B1388" s="61"/>
      <c r="C1388" s="61"/>
      <c r="D1388" s="61"/>
      <c r="E1388" s="61"/>
      <c r="F1388" s="61"/>
      <c r="G1388" s="179"/>
      <c r="H1388" s="61"/>
      <c r="I1388" s="61"/>
      <c r="J1388" s="61"/>
      <c r="K1388" s="61"/>
      <c r="L1388" s="61"/>
      <c r="M1388" s="61"/>
      <c r="N1388" s="61"/>
      <c r="O1388" s="61"/>
      <c r="P1388" s="61"/>
      <c r="Q1388" s="61"/>
      <c r="R1388" s="61"/>
      <c r="S1388" s="61"/>
      <c r="T1388" s="61"/>
      <c r="U1388" s="61"/>
      <c r="V1388" s="61"/>
      <c r="W1388" s="61"/>
      <c r="X1388" s="61"/>
      <c r="Y1388" s="61"/>
      <c r="Z1388" s="61"/>
    </row>
    <row r="1389" spans="1:26" ht="13">
      <c r="A1389" s="61"/>
      <c r="B1389" s="61"/>
      <c r="C1389" s="61"/>
      <c r="D1389" s="61"/>
      <c r="E1389" s="61"/>
      <c r="F1389" s="61"/>
      <c r="G1389" s="179"/>
      <c r="H1389" s="61"/>
      <c r="I1389" s="61"/>
      <c r="J1389" s="61"/>
      <c r="K1389" s="61"/>
      <c r="L1389" s="61"/>
      <c r="M1389" s="61"/>
      <c r="N1389" s="61"/>
      <c r="O1389" s="61"/>
      <c r="P1389" s="61"/>
      <c r="Q1389" s="61"/>
      <c r="R1389" s="61"/>
      <c r="S1389" s="61"/>
      <c r="T1389" s="61"/>
      <c r="U1389" s="61"/>
      <c r="V1389" s="61"/>
      <c r="W1389" s="61"/>
      <c r="X1389" s="61"/>
      <c r="Y1389" s="61"/>
      <c r="Z1389" s="61"/>
    </row>
    <row r="1390" spans="1:26" ht="13">
      <c r="A1390" s="61"/>
      <c r="B1390" s="61"/>
      <c r="C1390" s="61"/>
      <c r="D1390" s="61"/>
      <c r="E1390" s="61"/>
      <c r="F1390" s="61"/>
      <c r="G1390" s="179"/>
      <c r="H1390" s="61"/>
      <c r="I1390" s="61"/>
      <c r="J1390" s="61"/>
      <c r="K1390" s="61"/>
      <c r="L1390" s="61"/>
      <c r="M1390" s="61"/>
      <c r="N1390" s="61"/>
      <c r="O1390" s="61"/>
      <c r="P1390" s="61"/>
      <c r="Q1390" s="61"/>
      <c r="R1390" s="61"/>
      <c r="S1390" s="61"/>
      <c r="T1390" s="61"/>
      <c r="U1390" s="61"/>
      <c r="V1390" s="61"/>
      <c r="W1390" s="61"/>
      <c r="X1390" s="61"/>
      <c r="Y1390" s="61"/>
      <c r="Z1390" s="61"/>
    </row>
    <row r="1391" spans="1:26" ht="13">
      <c r="A1391" s="61"/>
      <c r="B1391" s="61"/>
      <c r="C1391" s="61"/>
      <c r="D1391" s="61"/>
      <c r="E1391" s="61"/>
      <c r="F1391" s="61"/>
      <c r="G1391" s="179"/>
      <c r="H1391" s="61"/>
      <c r="I1391" s="61"/>
      <c r="J1391" s="61"/>
      <c r="K1391" s="61"/>
      <c r="L1391" s="61"/>
      <c r="M1391" s="61"/>
      <c r="N1391" s="61"/>
      <c r="O1391" s="61"/>
      <c r="P1391" s="61"/>
      <c r="Q1391" s="61"/>
      <c r="R1391" s="61"/>
      <c r="S1391" s="61"/>
      <c r="T1391" s="61"/>
      <c r="U1391" s="61"/>
      <c r="V1391" s="61"/>
      <c r="W1391" s="61"/>
      <c r="X1391" s="61"/>
      <c r="Y1391" s="61"/>
      <c r="Z1391" s="61"/>
    </row>
    <row r="1392" spans="1:26" ht="13">
      <c r="A1392" s="61"/>
      <c r="B1392" s="61"/>
      <c r="C1392" s="61"/>
      <c r="D1392" s="61"/>
      <c r="E1392" s="61"/>
      <c r="F1392" s="61"/>
      <c r="G1392" s="179"/>
      <c r="H1392" s="61"/>
      <c r="I1392" s="61"/>
      <c r="J1392" s="61"/>
      <c r="K1392" s="61"/>
      <c r="L1392" s="61"/>
      <c r="M1392" s="61"/>
      <c r="N1392" s="61"/>
      <c r="O1392" s="61"/>
      <c r="P1392" s="61"/>
      <c r="Q1392" s="61"/>
      <c r="R1392" s="61"/>
      <c r="S1392" s="61"/>
      <c r="T1392" s="61"/>
      <c r="U1392" s="61"/>
      <c r="V1392" s="61"/>
      <c r="W1392" s="61"/>
      <c r="X1392" s="61"/>
      <c r="Y1392" s="61"/>
      <c r="Z1392" s="61"/>
    </row>
    <row r="1393" spans="1:26" ht="13">
      <c r="A1393" s="61"/>
      <c r="B1393" s="61"/>
      <c r="C1393" s="61"/>
      <c r="D1393" s="61"/>
      <c r="E1393" s="61"/>
      <c r="F1393" s="61"/>
      <c r="G1393" s="179"/>
      <c r="H1393" s="61"/>
      <c r="I1393" s="61"/>
      <c r="J1393" s="61"/>
      <c r="K1393" s="61"/>
      <c r="L1393" s="61"/>
      <c r="M1393" s="61"/>
      <c r="N1393" s="61"/>
      <c r="O1393" s="61"/>
      <c r="P1393" s="61"/>
      <c r="Q1393" s="61"/>
      <c r="R1393" s="61"/>
      <c r="S1393" s="61"/>
      <c r="T1393" s="61"/>
      <c r="U1393" s="61"/>
      <c r="V1393" s="61"/>
      <c r="W1393" s="61"/>
      <c r="X1393" s="61"/>
      <c r="Y1393" s="61"/>
      <c r="Z1393" s="61"/>
    </row>
    <row r="1394" spans="1:26" ht="13">
      <c r="A1394" s="61"/>
      <c r="B1394" s="61"/>
      <c r="C1394" s="61"/>
      <c r="D1394" s="61"/>
      <c r="E1394" s="61"/>
      <c r="F1394" s="61"/>
      <c r="G1394" s="179"/>
      <c r="H1394" s="61"/>
      <c r="I1394" s="61"/>
      <c r="J1394" s="61"/>
      <c r="K1394" s="61"/>
      <c r="L1394" s="61"/>
      <c r="M1394" s="61"/>
      <c r="N1394" s="61"/>
      <c r="O1394" s="61"/>
      <c r="P1394" s="61"/>
      <c r="Q1394" s="61"/>
      <c r="R1394" s="61"/>
      <c r="S1394" s="61"/>
      <c r="T1394" s="61"/>
      <c r="U1394" s="61"/>
      <c r="V1394" s="61"/>
      <c r="W1394" s="61"/>
      <c r="X1394" s="61"/>
      <c r="Y1394" s="61"/>
      <c r="Z1394" s="61"/>
    </row>
    <row r="1395" spans="1:26" ht="13">
      <c r="A1395" s="61"/>
      <c r="B1395" s="61"/>
      <c r="C1395" s="61"/>
      <c r="D1395" s="61"/>
      <c r="E1395" s="61"/>
      <c r="F1395" s="61"/>
      <c r="G1395" s="179"/>
      <c r="H1395" s="61"/>
      <c r="I1395" s="61"/>
      <c r="J1395" s="61"/>
      <c r="K1395" s="61"/>
      <c r="L1395" s="61"/>
      <c r="M1395" s="61"/>
      <c r="N1395" s="61"/>
      <c r="O1395" s="61"/>
      <c r="P1395" s="61"/>
      <c r="Q1395" s="61"/>
      <c r="R1395" s="61"/>
      <c r="S1395" s="61"/>
      <c r="T1395" s="61"/>
      <c r="U1395" s="61"/>
      <c r="V1395" s="61"/>
      <c r="W1395" s="61"/>
      <c r="X1395" s="61"/>
      <c r="Y1395" s="61"/>
      <c r="Z1395" s="61"/>
    </row>
    <row r="1396" spans="1:26" ht="13">
      <c r="A1396" s="61"/>
      <c r="B1396" s="61"/>
      <c r="C1396" s="61"/>
      <c r="D1396" s="61"/>
      <c r="E1396" s="61"/>
      <c r="F1396" s="61"/>
      <c r="G1396" s="179"/>
      <c r="H1396" s="61"/>
      <c r="I1396" s="61"/>
      <c r="J1396" s="61"/>
      <c r="K1396" s="61"/>
      <c r="L1396" s="61"/>
      <c r="M1396" s="61"/>
      <c r="N1396" s="61"/>
      <c r="O1396" s="61"/>
      <c r="P1396" s="61"/>
      <c r="Q1396" s="61"/>
      <c r="R1396" s="61"/>
      <c r="S1396" s="61"/>
      <c r="T1396" s="61"/>
      <c r="U1396" s="61"/>
      <c r="V1396" s="61"/>
      <c r="W1396" s="61"/>
      <c r="X1396" s="61"/>
      <c r="Y1396" s="61"/>
      <c r="Z1396" s="61"/>
    </row>
    <row r="1397" spans="1:26" ht="13">
      <c r="A1397" s="61"/>
      <c r="B1397" s="61"/>
      <c r="C1397" s="61"/>
      <c r="D1397" s="61"/>
      <c r="E1397" s="61"/>
      <c r="F1397" s="61"/>
      <c r="G1397" s="179"/>
      <c r="H1397" s="61"/>
      <c r="I1397" s="61"/>
      <c r="J1397" s="61"/>
      <c r="K1397" s="61"/>
      <c r="L1397" s="61"/>
      <c r="M1397" s="61"/>
      <c r="N1397" s="61"/>
      <c r="O1397" s="61"/>
      <c r="P1397" s="61"/>
      <c r="Q1397" s="61"/>
      <c r="R1397" s="61"/>
      <c r="S1397" s="61"/>
      <c r="T1397" s="61"/>
      <c r="U1397" s="61"/>
      <c r="V1397" s="61"/>
      <c r="W1397" s="61"/>
      <c r="X1397" s="61"/>
      <c r="Y1397" s="61"/>
      <c r="Z1397" s="61"/>
    </row>
    <row r="1398" spans="1:26" ht="13">
      <c r="A1398" s="61"/>
      <c r="B1398" s="61"/>
      <c r="C1398" s="61"/>
      <c r="D1398" s="61"/>
      <c r="E1398" s="61"/>
      <c r="F1398" s="61"/>
      <c r="G1398" s="179"/>
      <c r="H1398" s="61"/>
      <c r="I1398" s="61"/>
      <c r="J1398" s="61"/>
      <c r="K1398" s="61"/>
      <c r="L1398" s="61"/>
      <c r="M1398" s="61"/>
      <c r="N1398" s="61"/>
      <c r="O1398" s="61"/>
      <c r="P1398" s="61"/>
      <c r="Q1398" s="61"/>
      <c r="R1398" s="61"/>
      <c r="S1398" s="61"/>
      <c r="T1398" s="61"/>
      <c r="U1398" s="61"/>
      <c r="V1398" s="61"/>
      <c r="W1398" s="61"/>
      <c r="X1398" s="61"/>
      <c r="Y1398" s="61"/>
      <c r="Z1398" s="61"/>
    </row>
    <row r="1399" spans="1:26" ht="13">
      <c r="A1399" s="61"/>
      <c r="B1399" s="61"/>
      <c r="C1399" s="61"/>
      <c r="D1399" s="61"/>
      <c r="E1399" s="61"/>
      <c r="F1399" s="61"/>
      <c r="G1399" s="179"/>
      <c r="H1399" s="61"/>
      <c r="I1399" s="61"/>
      <c r="J1399" s="61"/>
      <c r="K1399" s="61"/>
      <c r="L1399" s="61"/>
      <c r="M1399" s="61"/>
      <c r="N1399" s="61"/>
      <c r="O1399" s="61"/>
      <c r="P1399" s="61"/>
      <c r="Q1399" s="61"/>
      <c r="R1399" s="61"/>
      <c r="S1399" s="61"/>
      <c r="T1399" s="61"/>
      <c r="U1399" s="61"/>
      <c r="V1399" s="61"/>
      <c r="W1399" s="61"/>
      <c r="X1399" s="61"/>
      <c r="Y1399" s="61"/>
      <c r="Z1399" s="61"/>
    </row>
    <row r="1400" spans="1:26" ht="13">
      <c r="A1400" s="61"/>
      <c r="B1400" s="61"/>
      <c r="C1400" s="61"/>
      <c r="D1400" s="61"/>
      <c r="E1400" s="61"/>
      <c r="F1400" s="61"/>
      <c r="G1400" s="179"/>
      <c r="H1400" s="61"/>
      <c r="I1400" s="61"/>
      <c r="J1400" s="61"/>
      <c r="K1400" s="61"/>
      <c r="L1400" s="61"/>
      <c r="M1400" s="61"/>
      <c r="N1400" s="61"/>
      <c r="O1400" s="61"/>
      <c r="P1400" s="61"/>
      <c r="Q1400" s="61"/>
      <c r="R1400" s="61"/>
      <c r="S1400" s="61"/>
      <c r="T1400" s="61"/>
      <c r="U1400" s="61"/>
      <c r="V1400" s="61"/>
      <c r="W1400" s="61"/>
      <c r="X1400" s="61"/>
      <c r="Y1400" s="61"/>
      <c r="Z1400" s="61"/>
    </row>
    <row r="1401" spans="1:26" ht="13">
      <c r="A1401" s="61"/>
      <c r="B1401" s="61"/>
      <c r="C1401" s="61"/>
      <c r="D1401" s="61"/>
      <c r="E1401" s="61"/>
      <c r="F1401" s="61"/>
      <c r="G1401" s="179"/>
      <c r="H1401" s="61"/>
      <c r="I1401" s="61"/>
      <c r="J1401" s="61"/>
      <c r="K1401" s="61"/>
      <c r="L1401" s="61"/>
      <c r="M1401" s="61"/>
      <c r="N1401" s="61"/>
      <c r="O1401" s="61"/>
      <c r="P1401" s="61"/>
      <c r="Q1401" s="61"/>
      <c r="R1401" s="61"/>
      <c r="S1401" s="61"/>
      <c r="T1401" s="61"/>
      <c r="U1401" s="61"/>
      <c r="V1401" s="61"/>
      <c r="W1401" s="61"/>
      <c r="X1401" s="61"/>
      <c r="Y1401" s="61"/>
      <c r="Z1401" s="61"/>
    </row>
    <row r="1402" spans="1:26" ht="13">
      <c r="A1402" s="61"/>
      <c r="B1402" s="61"/>
      <c r="C1402" s="61"/>
      <c r="D1402" s="61"/>
      <c r="E1402" s="61"/>
      <c r="F1402" s="61"/>
      <c r="G1402" s="179"/>
      <c r="H1402" s="61"/>
      <c r="I1402" s="61"/>
      <c r="J1402" s="61"/>
      <c r="K1402" s="61"/>
      <c r="L1402" s="61"/>
      <c r="M1402" s="61"/>
      <c r="N1402" s="61"/>
      <c r="O1402" s="61"/>
      <c r="P1402" s="61"/>
      <c r="Q1402" s="61"/>
      <c r="R1402" s="61"/>
      <c r="S1402" s="61"/>
      <c r="T1402" s="61"/>
      <c r="U1402" s="61"/>
      <c r="V1402" s="61"/>
      <c r="W1402" s="61"/>
      <c r="X1402" s="61"/>
      <c r="Y1402" s="61"/>
      <c r="Z1402" s="61"/>
    </row>
    <row r="1403" spans="1:26" ht="13">
      <c r="A1403" s="61"/>
      <c r="B1403" s="61"/>
      <c r="C1403" s="61"/>
      <c r="D1403" s="61"/>
      <c r="E1403" s="61"/>
      <c r="F1403" s="61"/>
      <c r="G1403" s="179"/>
      <c r="H1403" s="61"/>
      <c r="I1403" s="61"/>
      <c r="J1403" s="61"/>
      <c r="K1403" s="61"/>
      <c r="L1403" s="61"/>
      <c r="M1403" s="61"/>
      <c r="N1403" s="61"/>
      <c r="O1403" s="61"/>
      <c r="P1403" s="61"/>
      <c r="Q1403" s="61"/>
      <c r="R1403" s="61"/>
      <c r="S1403" s="61"/>
      <c r="T1403" s="61"/>
      <c r="U1403" s="61"/>
      <c r="V1403" s="61"/>
      <c r="W1403" s="61"/>
      <c r="X1403" s="61"/>
      <c r="Y1403" s="61"/>
      <c r="Z1403" s="61"/>
    </row>
    <row r="1404" spans="1:26" ht="13">
      <c r="A1404" s="61"/>
      <c r="B1404" s="61"/>
      <c r="C1404" s="61"/>
      <c r="D1404" s="61"/>
      <c r="E1404" s="61"/>
      <c r="F1404" s="61"/>
      <c r="G1404" s="179"/>
      <c r="H1404" s="61"/>
      <c r="I1404" s="61"/>
      <c r="J1404" s="61"/>
      <c r="K1404" s="61"/>
      <c r="L1404" s="61"/>
      <c r="M1404" s="61"/>
      <c r="N1404" s="61"/>
      <c r="O1404" s="61"/>
      <c r="P1404" s="61"/>
      <c r="Q1404" s="61"/>
      <c r="R1404" s="61"/>
      <c r="S1404" s="61"/>
      <c r="T1404" s="61"/>
      <c r="U1404" s="61"/>
      <c r="V1404" s="61"/>
      <c r="W1404" s="61"/>
      <c r="X1404" s="61"/>
      <c r="Y1404" s="61"/>
      <c r="Z1404" s="61"/>
    </row>
    <row r="1405" spans="1:26" ht="13">
      <c r="A1405" s="61"/>
      <c r="B1405" s="61"/>
      <c r="C1405" s="61"/>
      <c r="D1405" s="61"/>
      <c r="E1405" s="61"/>
      <c r="F1405" s="61"/>
      <c r="G1405" s="179"/>
      <c r="H1405" s="61"/>
      <c r="I1405" s="61"/>
      <c r="J1405" s="61"/>
      <c r="K1405" s="61"/>
      <c r="L1405" s="61"/>
      <c r="M1405" s="61"/>
      <c r="N1405" s="61"/>
      <c r="O1405" s="61"/>
      <c r="P1405" s="61"/>
      <c r="Q1405" s="61"/>
      <c r="R1405" s="61"/>
      <c r="S1405" s="61"/>
      <c r="T1405" s="61"/>
      <c r="U1405" s="61"/>
      <c r="V1405" s="61"/>
      <c r="W1405" s="61"/>
      <c r="X1405" s="61"/>
      <c r="Y1405" s="61"/>
      <c r="Z1405" s="61"/>
    </row>
    <row r="1406" spans="1:26" ht="13">
      <c r="A1406" s="61"/>
      <c r="B1406" s="61"/>
      <c r="C1406" s="61"/>
      <c r="D1406" s="61"/>
      <c r="E1406" s="61"/>
      <c r="F1406" s="61"/>
      <c r="G1406" s="179"/>
      <c r="H1406" s="61"/>
      <c r="I1406" s="61"/>
      <c r="J1406" s="61"/>
      <c r="K1406" s="61"/>
      <c r="L1406" s="61"/>
      <c r="M1406" s="61"/>
      <c r="N1406" s="61"/>
      <c r="O1406" s="61"/>
      <c r="P1406" s="61"/>
      <c r="Q1406" s="61"/>
      <c r="R1406" s="61"/>
      <c r="S1406" s="61"/>
      <c r="T1406" s="61"/>
      <c r="U1406" s="61"/>
      <c r="V1406" s="61"/>
      <c r="W1406" s="61"/>
      <c r="X1406" s="61"/>
      <c r="Y1406" s="61"/>
      <c r="Z1406" s="61"/>
    </row>
    <row r="1407" spans="1:26" ht="13">
      <c r="A1407" s="61"/>
      <c r="B1407" s="61"/>
      <c r="C1407" s="61"/>
      <c r="D1407" s="61"/>
      <c r="E1407" s="61"/>
      <c r="F1407" s="61"/>
      <c r="G1407" s="179"/>
      <c r="H1407" s="61"/>
      <c r="I1407" s="61"/>
      <c r="J1407" s="61"/>
      <c r="K1407" s="61"/>
      <c r="L1407" s="61"/>
      <c r="M1407" s="61"/>
      <c r="N1407" s="61"/>
      <c r="O1407" s="61"/>
      <c r="P1407" s="61"/>
      <c r="Q1407" s="61"/>
      <c r="R1407" s="61"/>
      <c r="S1407" s="61"/>
      <c r="T1407" s="61"/>
      <c r="U1407" s="61"/>
      <c r="V1407" s="61"/>
      <c r="W1407" s="61"/>
      <c r="X1407" s="61"/>
      <c r="Y1407" s="61"/>
      <c r="Z1407" s="61"/>
    </row>
    <row r="1408" spans="1:26" ht="13">
      <c r="A1408" s="61"/>
      <c r="B1408" s="61"/>
      <c r="C1408" s="61"/>
      <c r="D1408" s="61"/>
      <c r="E1408" s="61"/>
      <c r="F1408" s="61"/>
      <c r="G1408" s="179"/>
      <c r="H1408" s="61"/>
      <c r="I1408" s="61"/>
      <c r="J1408" s="61"/>
      <c r="K1408" s="61"/>
      <c r="L1408" s="61"/>
      <c r="M1408" s="61"/>
      <c r="N1408" s="61"/>
      <c r="O1408" s="61"/>
      <c r="P1408" s="61"/>
      <c r="Q1408" s="61"/>
      <c r="R1408" s="61"/>
      <c r="S1408" s="61"/>
      <c r="T1408" s="61"/>
      <c r="U1408" s="61"/>
      <c r="V1408" s="61"/>
      <c r="W1408" s="61"/>
      <c r="X1408" s="61"/>
      <c r="Y1408" s="61"/>
      <c r="Z1408" s="61"/>
    </row>
    <row r="1409" spans="1:26" ht="13">
      <c r="A1409" s="61"/>
      <c r="B1409" s="61"/>
      <c r="C1409" s="61"/>
      <c r="D1409" s="61"/>
      <c r="E1409" s="61"/>
      <c r="F1409" s="61"/>
      <c r="G1409" s="179"/>
      <c r="H1409" s="61"/>
      <c r="I1409" s="61"/>
      <c r="J1409" s="61"/>
      <c r="K1409" s="61"/>
      <c r="L1409" s="61"/>
      <c r="M1409" s="61"/>
      <c r="N1409" s="61"/>
      <c r="O1409" s="61"/>
      <c r="P1409" s="61"/>
      <c r="Q1409" s="61"/>
      <c r="R1409" s="61"/>
      <c r="S1409" s="61"/>
      <c r="T1409" s="61"/>
      <c r="U1409" s="61"/>
      <c r="V1409" s="61"/>
      <c r="W1409" s="61"/>
      <c r="X1409" s="61"/>
      <c r="Y1409" s="61"/>
      <c r="Z1409" s="61"/>
    </row>
    <row r="1410" spans="1:26" ht="13">
      <c r="A1410" s="61"/>
      <c r="B1410" s="61"/>
      <c r="C1410" s="61"/>
      <c r="D1410" s="61"/>
      <c r="E1410" s="61"/>
      <c r="F1410" s="61"/>
      <c r="G1410" s="179"/>
      <c r="H1410" s="61"/>
      <c r="I1410" s="61"/>
      <c r="J1410" s="61"/>
      <c r="K1410" s="61"/>
      <c r="L1410" s="61"/>
      <c r="M1410" s="61"/>
      <c r="N1410" s="61"/>
      <c r="O1410" s="61"/>
      <c r="P1410" s="61"/>
      <c r="Q1410" s="61"/>
      <c r="R1410" s="61"/>
      <c r="S1410" s="61"/>
      <c r="T1410" s="61"/>
      <c r="U1410" s="61"/>
      <c r="V1410" s="61"/>
      <c r="W1410" s="61"/>
      <c r="X1410" s="61"/>
      <c r="Y1410" s="61"/>
      <c r="Z1410" s="61"/>
    </row>
    <row r="1411" spans="1:26" ht="13">
      <c r="A1411" s="61"/>
      <c r="B1411" s="61"/>
      <c r="C1411" s="61"/>
      <c r="D1411" s="61"/>
      <c r="E1411" s="61"/>
      <c r="F1411" s="61"/>
      <c r="G1411" s="179"/>
      <c r="H1411" s="61"/>
      <c r="I1411" s="61"/>
      <c r="J1411" s="61"/>
      <c r="K1411" s="61"/>
      <c r="L1411" s="61"/>
      <c r="M1411" s="61"/>
      <c r="N1411" s="61"/>
      <c r="O1411" s="61"/>
      <c r="P1411" s="61"/>
      <c r="Q1411" s="61"/>
      <c r="R1411" s="61"/>
      <c r="S1411" s="61"/>
      <c r="T1411" s="61"/>
      <c r="U1411" s="61"/>
      <c r="V1411" s="61"/>
      <c r="W1411" s="61"/>
      <c r="X1411" s="61"/>
      <c r="Y1411" s="61"/>
      <c r="Z1411" s="61"/>
    </row>
    <row r="1412" spans="1:26" ht="13">
      <c r="A1412" s="61"/>
      <c r="B1412" s="61"/>
      <c r="C1412" s="61"/>
      <c r="D1412" s="61"/>
      <c r="E1412" s="61"/>
      <c r="F1412" s="61"/>
      <c r="G1412" s="179"/>
      <c r="H1412" s="61"/>
      <c r="I1412" s="61"/>
      <c r="J1412" s="61"/>
      <c r="K1412" s="61"/>
      <c r="L1412" s="61"/>
      <c r="M1412" s="61"/>
      <c r="N1412" s="61"/>
      <c r="O1412" s="61"/>
      <c r="P1412" s="61"/>
      <c r="Q1412" s="61"/>
      <c r="R1412" s="61"/>
      <c r="S1412" s="61"/>
      <c r="T1412" s="61"/>
      <c r="U1412" s="61"/>
      <c r="V1412" s="61"/>
      <c r="W1412" s="61"/>
      <c r="X1412" s="61"/>
      <c r="Y1412" s="61"/>
      <c r="Z1412" s="61"/>
    </row>
    <row r="1413" spans="1:26" ht="13">
      <c r="A1413" s="61"/>
      <c r="B1413" s="61"/>
      <c r="C1413" s="61"/>
      <c r="D1413" s="61"/>
      <c r="E1413" s="61"/>
      <c r="F1413" s="61"/>
      <c r="G1413" s="179"/>
      <c r="H1413" s="61"/>
      <c r="I1413" s="61"/>
      <c r="J1413" s="61"/>
      <c r="K1413" s="61"/>
      <c r="L1413" s="61"/>
      <c r="M1413" s="61"/>
      <c r="N1413" s="61"/>
      <c r="O1413" s="61"/>
      <c r="P1413" s="61"/>
      <c r="Q1413" s="61"/>
      <c r="R1413" s="61"/>
      <c r="S1413" s="61"/>
      <c r="T1413" s="61"/>
      <c r="U1413" s="61"/>
      <c r="V1413" s="61"/>
      <c r="W1413" s="61"/>
      <c r="X1413" s="61"/>
      <c r="Y1413" s="61"/>
      <c r="Z1413" s="61"/>
    </row>
    <row r="1414" spans="1:26" ht="13">
      <c r="A1414" s="61"/>
      <c r="B1414" s="61"/>
      <c r="C1414" s="61"/>
      <c r="D1414" s="61"/>
      <c r="E1414" s="61"/>
      <c r="F1414" s="61"/>
      <c r="G1414" s="179"/>
      <c r="H1414" s="61"/>
      <c r="I1414" s="61"/>
      <c r="J1414" s="61"/>
      <c r="K1414" s="61"/>
      <c r="L1414" s="61"/>
      <c r="M1414" s="61"/>
      <c r="N1414" s="61"/>
      <c r="O1414" s="61"/>
      <c r="P1414" s="61"/>
      <c r="Q1414" s="61"/>
      <c r="R1414" s="61"/>
      <c r="S1414" s="61"/>
      <c r="T1414" s="61"/>
      <c r="U1414" s="61"/>
      <c r="V1414" s="61"/>
      <c r="W1414" s="61"/>
      <c r="X1414" s="61"/>
      <c r="Y1414" s="61"/>
      <c r="Z1414" s="61"/>
    </row>
    <row r="1415" spans="1:26" ht="13">
      <c r="A1415" s="61"/>
      <c r="B1415" s="61"/>
      <c r="C1415" s="61"/>
      <c r="D1415" s="61"/>
      <c r="E1415" s="61"/>
      <c r="F1415" s="61"/>
      <c r="G1415" s="179"/>
      <c r="H1415" s="61"/>
      <c r="I1415" s="61"/>
      <c r="J1415" s="61"/>
      <c r="K1415" s="61"/>
      <c r="L1415" s="61"/>
      <c r="M1415" s="61"/>
      <c r="N1415" s="61"/>
      <c r="O1415" s="61"/>
      <c r="P1415" s="61"/>
      <c r="Q1415" s="61"/>
      <c r="R1415" s="61"/>
      <c r="S1415" s="61"/>
      <c r="T1415" s="61"/>
      <c r="U1415" s="61"/>
      <c r="V1415" s="61"/>
      <c r="W1415" s="61"/>
      <c r="X1415" s="61"/>
      <c r="Y1415" s="61"/>
      <c r="Z1415" s="61"/>
    </row>
    <row r="1416" spans="1:26" ht="13">
      <c r="A1416" s="61"/>
      <c r="B1416" s="61"/>
      <c r="C1416" s="61"/>
      <c r="D1416" s="61"/>
      <c r="E1416" s="61"/>
      <c r="F1416" s="61"/>
      <c r="G1416" s="179"/>
      <c r="H1416" s="61"/>
      <c r="I1416" s="61"/>
      <c r="J1416" s="61"/>
      <c r="K1416" s="61"/>
      <c r="L1416" s="61"/>
      <c r="M1416" s="61"/>
      <c r="N1416" s="61"/>
      <c r="O1416" s="61"/>
      <c r="P1416" s="61"/>
      <c r="Q1416" s="61"/>
      <c r="R1416" s="61"/>
      <c r="S1416" s="61"/>
      <c r="T1416" s="61"/>
      <c r="U1416" s="61"/>
      <c r="V1416" s="61"/>
      <c r="W1416" s="61"/>
      <c r="X1416" s="61"/>
      <c r="Y1416" s="61"/>
      <c r="Z1416" s="61"/>
    </row>
    <row r="1417" spans="1:26" ht="13">
      <c r="A1417" s="61"/>
      <c r="B1417" s="61"/>
      <c r="C1417" s="61"/>
      <c r="D1417" s="61"/>
      <c r="E1417" s="61"/>
      <c r="F1417" s="61"/>
      <c r="G1417" s="179"/>
      <c r="H1417" s="61"/>
      <c r="I1417" s="61"/>
      <c r="J1417" s="61"/>
      <c r="K1417" s="61"/>
      <c r="L1417" s="61"/>
      <c r="M1417" s="61"/>
      <c r="N1417" s="61"/>
      <c r="O1417" s="61"/>
      <c r="P1417" s="61"/>
      <c r="Q1417" s="61"/>
      <c r="R1417" s="61"/>
      <c r="S1417" s="61"/>
      <c r="T1417" s="61"/>
      <c r="U1417" s="61"/>
      <c r="V1417" s="61"/>
      <c r="W1417" s="61"/>
      <c r="X1417" s="61"/>
      <c r="Y1417" s="61"/>
      <c r="Z1417" s="61"/>
    </row>
    <row r="1418" spans="1:26" ht="13">
      <c r="A1418" s="61"/>
      <c r="B1418" s="61"/>
      <c r="C1418" s="61"/>
      <c r="D1418" s="61"/>
      <c r="E1418" s="61"/>
      <c r="F1418" s="61"/>
      <c r="G1418" s="179"/>
      <c r="H1418" s="61"/>
      <c r="I1418" s="61"/>
      <c r="J1418" s="61"/>
      <c r="K1418" s="61"/>
      <c r="L1418" s="61"/>
      <c r="M1418" s="61"/>
      <c r="N1418" s="61"/>
      <c r="O1418" s="61"/>
      <c r="P1418" s="61"/>
      <c r="Q1418" s="61"/>
      <c r="R1418" s="61"/>
      <c r="S1418" s="61"/>
      <c r="T1418" s="61"/>
      <c r="U1418" s="61"/>
      <c r="V1418" s="61"/>
      <c r="W1418" s="61"/>
      <c r="X1418" s="61"/>
      <c r="Y1418" s="61"/>
      <c r="Z1418" s="61"/>
    </row>
    <row r="1419" spans="1:26" ht="13">
      <c r="A1419" s="61"/>
      <c r="B1419" s="61"/>
      <c r="C1419" s="61"/>
      <c r="D1419" s="61"/>
      <c r="E1419" s="61"/>
      <c r="F1419" s="61"/>
      <c r="G1419" s="179"/>
      <c r="H1419" s="61"/>
      <c r="I1419" s="61"/>
      <c r="J1419" s="61"/>
      <c r="K1419" s="61"/>
      <c r="L1419" s="61"/>
      <c r="M1419" s="61"/>
      <c r="N1419" s="61"/>
      <c r="O1419" s="61"/>
      <c r="P1419" s="61"/>
      <c r="Q1419" s="61"/>
      <c r="R1419" s="61"/>
      <c r="S1419" s="61"/>
      <c r="T1419" s="61"/>
      <c r="U1419" s="61"/>
      <c r="V1419" s="61"/>
      <c r="W1419" s="61"/>
      <c r="X1419" s="61"/>
      <c r="Y1419" s="61"/>
      <c r="Z1419" s="61"/>
    </row>
    <row r="1420" spans="1:26" ht="13">
      <c r="A1420" s="61"/>
      <c r="B1420" s="61"/>
      <c r="C1420" s="61"/>
      <c r="D1420" s="61"/>
      <c r="E1420" s="61"/>
      <c r="F1420" s="61"/>
      <c r="G1420" s="179"/>
      <c r="H1420" s="61"/>
      <c r="I1420" s="61"/>
      <c r="J1420" s="61"/>
      <c r="K1420" s="61"/>
      <c r="L1420" s="61"/>
      <c r="M1420" s="61"/>
      <c r="N1420" s="61"/>
      <c r="O1420" s="61"/>
      <c r="P1420" s="61"/>
      <c r="Q1420" s="61"/>
      <c r="R1420" s="61"/>
      <c r="S1420" s="61"/>
      <c r="T1420" s="61"/>
      <c r="U1420" s="61"/>
      <c r="V1420" s="61"/>
      <c r="W1420" s="61"/>
      <c r="X1420" s="61"/>
      <c r="Y1420" s="61"/>
      <c r="Z1420" s="61"/>
    </row>
    <row r="1421" spans="1:26" ht="13">
      <c r="A1421" s="61"/>
      <c r="B1421" s="61"/>
      <c r="C1421" s="61"/>
      <c r="D1421" s="61"/>
      <c r="E1421" s="61"/>
      <c r="F1421" s="61"/>
      <c r="G1421" s="179"/>
      <c r="H1421" s="61"/>
      <c r="I1421" s="61"/>
      <c r="J1421" s="61"/>
      <c r="K1421" s="61"/>
      <c r="L1421" s="61"/>
      <c r="M1421" s="61"/>
      <c r="N1421" s="61"/>
      <c r="O1421" s="61"/>
      <c r="P1421" s="61"/>
      <c r="Q1421" s="61"/>
      <c r="R1421" s="61"/>
      <c r="S1421" s="61"/>
      <c r="T1421" s="61"/>
      <c r="U1421" s="61"/>
      <c r="V1421" s="61"/>
      <c r="W1421" s="61"/>
      <c r="X1421" s="61"/>
      <c r="Y1421" s="61"/>
      <c r="Z1421" s="61"/>
    </row>
    <row r="1422" spans="1:26" ht="13">
      <c r="A1422" s="61"/>
      <c r="B1422" s="61"/>
      <c r="C1422" s="61"/>
      <c r="D1422" s="61"/>
      <c r="E1422" s="61"/>
      <c r="F1422" s="61"/>
      <c r="G1422" s="179"/>
      <c r="H1422" s="61"/>
      <c r="I1422" s="61"/>
      <c r="J1422" s="61"/>
      <c r="K1422" s="61"/>
      <c r="L1422" s="61"/>
      <c r="M1422" s="61"/>
      <c r="N1422" s="61"/>
      <c r="O1422" s="61"/>
      <c r="P1422" s="61"/>
      <c r="Q1422" s="61"/>
      <c r="R1422" s="61"/>
      <c r="S1422" s="61"/>
      <c r="T1422" s="61"/>
      <c r="U1422" s="61"/>
      <c r="V1422" s="61"/>
      <c r="W1422" s="61"/>
      <c r="X1422" s="61"/>
      <c r="Y1422" s="61"/>
      <c r="Z1422" s="61"/>
    </row>
    <row r="1423" spans="1:26" ht="13">
      <c r="A1423" s="61"/>
      <c r="B1423" s="61"/>
      <c r="C1423" s="61"/>
      <c r="D1423" s="61"/>
      <c r="E1423" s="61"/>
      <c r="F1423" s="61"/>
      <c r="G1423" s="179"/>
      <c r="H1423" s="61"/>
      <c r="I1423" s="61"/>
      <c r="J1423" s="61"/>
      <c r="K1423" s="61"/>
      <c r="L1423" s="61"/>
      <c r="M1423" s="61"/>
      <c r="N1423" s="61"/>
      <c r="O1423" s="61"/>
      <c r="P1423" s="61"/>
      <c r="Q1423" s="61"/>
      <c r="R1423" s="61"/>
      <c r="S1423" s="61"/>
      <c r="T1423" s="61"/>
      <c r="U1423" s="61"/>
      <c r="V1423" s="61"/>
      <c r="W1423" s="61"/>
      <c r="X1423" s="61"/>
      <c r="Y1423" s="61"/>
      <c r="Z1423" s="61"/>
    </row>
    <row r="1424" spans="1:26" ht="13">
      <c r="A1424" s="61"/>
      <c r="B1424" s="61"/>
      <c r="C1424" s="61"/>
      <c r="D1424" s="61"/>
      <c r="E1424" s="61"/>
      <c r="F1424" s="61"/>
      <c r="G1424" s="179"/>
      <c r="H1424" s="61"/>
      <c r="I1424" s="61"/>
      <c r="J1424" s="61"/>
      <c r="K1424" s="61"/>
      <c r="L1424" s="61"/>
      <c r="M1424" s="61"/>
      <c r="N1424" s="61"/>
      <c r="O1424" s="61"/>
      <c r="P1424" s="61"/>
      <c r="Q1424" s="61"/>
      <c r="R1424" s="61"/>
      <c r="S1424" s="61"/>
      <c r="T1424" s="61"/>
      <c r="U1424" s="61"/>
      <c r="V1424" s="61"/>
      <c r="W1424" s="61"/>
      <c r="X1424" s="61"/>
      <c r="Y1424" s="61"/>
      <c r="Z1424" s="61"/>
    </row>
    <row r="1425" spans="1:26" ht="13">
      <c r="A1425" s="61"/>
      <c r="B1425" s="61"/>
      <c r="C1425" s="61"/>
      <c r="D1425" s="61"/>
      <c r="E1425" s="61"/>
      <c r="F1425" s="61"/>
      <c r="G1425" s="179"/>
      <c r="H1425" s="61"/>
      <c r="I1425" s="61"/>
      <c r="J1425" s="61"/>
      <c r="K1425" s="61"/>
      <c r="L1425" s="61"/>
      <c r="M1425" s="61"/>
      <c r="N1425" s="61"/>
      <c r="O1425" s="61"/>
      <c r="P1425" s="61"/>
      <c r="Q1425" s="61"/>
      <c r="R1425" s="61"/>
      <c r="S1425" s="61"/>
      <c r="T1425" s="61"/>
      <c r="U1425" s="61"/>
      <c r="V1425" s="61"/>
      <c r="W1425" s="61"/>
      <c r="X1425" s="61"/>
      <c r="Y1425" s="61"/>
      <c r="Z1425" s="61"/>
    </row>
    <row r="1426" spans="1:26" ht="13">
      <c r="A1426" s="61"/>
      <c r="B1426" s="61"/>
      <c r="C1426" s="61"/>
      <c r="D1426" s="61"/>
      <c r="E1426" s="61"/>
      <c r="F1426" s="61"/>
      <c r="G1426" s="179"/>
      <c r="H1426" s="61"/>
      <c r="I1426" s="61"/>
      <c r="J1426" s="61"/>
      <c r="K1426" s="61"/>
      <c r="L1426" s="61"/>
      <c r="M1426" s="61"/>
      <c r="N1426" s="61"/>
      <c r="O1426" s="61"/>
      <c r="P1426" s="61"/>
      <c r="Q1426" s="61"/>
      <c r="R1426" s="61"/>
      <c r="S1426" s="61"/>
      <c r="T1426" s="61"/>
      <c r="U1426" s="61"/>
      <c r="V1426" s="61"/>
      <c r="W1426" s="61"/>
      <c r="X1426" s="61"/>
      <c r="Y1426" s="61"/>
      <c r="Z1426" s="61"/>
    </row>
    <row r="1427" spans="1:26" ht="13">
      <c r="A1427" s="61"/>
      <c r="B1427" s="61"/>
      <c r="C1427" s="61"/>
      <c r="D1427" s="61"/>
      <c r="E1427" s="61"/>
      <c r="F1427" s="61"/>
      <c r="G1427" s="179"/>
      <c r="H1427" s="61"/>
      <c r="I1427" s="61"/>
      <c r="J1427" s="61"/>
      <c r="K1427" s="61"/>
      <c r="L1427" s="61"/>
      <c r="M1427" s="61"/>
      <c r="N1427" s="61"/>
      <c r="O1427" s="61"/>
      <c r="P1427" s="61"/>
      <c r="Q1427" s="61"/>
      <c r="R1427" s="61"/>
      <c r="S1427" s="61"/>
      <c r="T1427" s="61"/>
      <c r="U1427" s="61"/>
      <c r="V1427" s="61"/>
      <c r="W1427" s="61"/>
      <c r="X1427" s="61"/>
      <c r="Y1427" s="61"/>
      <c r="Z1427" s="61"/>
    </row>
    <row r="1428" spans="1:26" ht="13">
      <c r="A1428" s="61"/>
      <c r="B1428" s="61"/>
      <c r="C1428" s="61"/>
      <c r="D1428" s="61"/>
      <c r="E1428" s="61"/>
      <c r="F1428" s="61"/>
      <c r="G1428" s="179"/>
      <c r="H1428" s="61"/>
      <c r="I1428" s="61"/>
      <c r="J1428" s="61"/>
      <c r="K1428" s="61"/>
      <c r="L1428" s="61"/>
      <c r="M1428" s="61"/>
      <c r="N1428" s="61"/>
      <c r="O1428" s="61"/>
      <c r="P1428" s="61"/>
      <c r="Q1428" s="61"/>
      <c r="R1428" s="61"/>
      <c r="S1428" s="61"/>
      <c r="T1428" s="61"/>
      <c r="U1428" s="61"/>
      <c r="V1428" s="61"/>
      <c r="W1428" s="61"/>
      <c r="X1428" s="61"/>
      <c r="Y1428" s="61"/>
      <c r="Z1428" s="61"/>
    </row>
    <row r="1429" spans="1:26" ht="13">
      <c r="A1429" s="61"/>
      <c r="B1429" s="61"/>
      <c r="C1429" s="61"/>
      <c r="D1429" s="61"/>
      <c r="E1429" s="61"/>
      <c r="F1429" s="61"/>
      <c r="G1429" s="179"/>
      <c r="H1429" s="61"/>
      <c r="I1429" s="61"/>
      <c r="J1429" s="61"/>
      <c r="K1429" s="61"/>
      <c r="L1429" s="61"/>
      <c r="M1429" s="61"/>
      <c r="N1429" s="61"/>
      <c r="O1429" s="61"/>
      <c r="P1429" s="61"/>
      <c r="Q1429" s="61"/>
      <c r="R1429" s="61"/>
      <c r="S1429" s="61"/>
      <c r="T1429" s="61"/>
      <c r="U1429" s="61"/>
      <c r="V1429" s="61"/>
      <c r="W1429" s="61"/>
      <c r="X1429" s="61"/>
      <c r="Y1429" s="61"/>
      <c r="Z1429" s="61"/>
    </row>
    <row r="1430" spans="1:26" ht="13">
      <c r="A1430" s="61"/>
      <c r="B1430" s="61"/>
      <c r="C1430" s="61"/>
      <c r="D1430" s="61"/>
      <c r="E1430" s="61"/>
      <c r="F1430" s="61"/>
      <c r="G1430" s="179"/>
      <c r="H1430" s="61"/>
      <c r="I1430" s="61"/>
      <c r="J1430" s="61"/>
      <c r="K1430" s="61"/>
      <c r="L1430" s="61"/>
      <c r="M1430" s="61"/>
      <c r="N1430" s="61"/>
      <c r="O1430" s="61"/>
      <c r="P1430" s="61"/>
      <c r="Q1430" s="61"/>
      <c r="R1430" s="61"/>
      <c r="S1430" s="61"/>
      <c r="T1430" s="61"/>
      <c r="U1430" s="61"/>
      <c r="V1430" s="61"/>
      <c r="W1430" s="61"/>
      <c r="X1430" s="61"/>
      <c r="Y1430" s="61"/>
      <c r="Z1430" s="61"/>
    </row>
    <row r="1431" spans="1:26" ht="13">
      <c r="A1431" s="61"/>
      <c r="B1431" s="61"/>
      <c r="C1431" s="61"/>
      <c r="D1431" s="61"/>
      <c r="E1431" s="61"/>
      <c r="F1431" s="61"/>
      <c r="G1431" s="179"/>
      <c r="H1431" s="61"/>
      <c r="I1431" s="61"/>
      <c r="J1431" s="61"/>
      <c r="K1431" s="61"/>
      <c r="L1431" s="61"/>
      <c r="M1431" s="61"/>
      <c r="N1431" s="61"/>
      <c r="O1431" s="61"/>
      <c r="P1431" s="61"/>
      <c r="Q1431" s="61"/>
      <c r="R1431" s="61"/>
      <c r="S1431" s="61"/>
      <c r="T1431" s="61"/>
      <c r="U1431" s="61"/>
      <c r="V1431" s="61"/>
      <c r="W1431" s="61"/>
      <c r="X1431" s="61"/>
      <c r="Y1431" s="61"/>
      <c r="Z1431" s="61"/>
    </row>
    <row r="1432" spans="1:26" ht="13">
      <c r="A1432" s="61"/>
      <c r="B1432" s="61"/>
      <c r="C1432" s="61"/>
      <c r="D1432" s="61"/>
      <c r="E1432" s="61"/>
      <c r="F1432" s="61"/>
      <c r="G1432" s="179"/>
      <c r="H1432" s="61"/>
      <c r="I1432" s="61"/>
      <c r="J1432" s="61"/>
      <c r="K1432" s="61"/>
      <c r="L1432" s="61"/>
      <c r="M1432" s="61"/>
      <c r="N1432" s="61"/>
      <c r="O1432" s="61"/>
      <c r="P1432" s="61"/>
      <c r="Q1432" s="61"/>
      <c r="R1432" s="61"/>
      <c r="S1432" s="61"/>
      <c r="T1432" s="61"/>
      <c r="U1432" s="61"/>
      <c r="V1432" s="61"/>
      <c r="W1432" s="61"/>
      <c r="X1432" s="61"/>
      <c r="Y1432" s="61"/>
      <c r="Z1432" s="61"/>
    </row>
    <row r="1433" spans="1:26" ht="13">
      <c r="A1433" s="61"/>
      <c r="B1433" s="61"/>
      <c r="C1433" s="61"/>
      <c r="D1433" s="61"/>
      <c r="E1433" s="61"/>
      <c r="F1433" s="61"/>
      <c r="G1433" s="179"/>
      <c r="H1433" s="61"/>
      <c r="I1433" s="61"/>
      <c r="J1433" s="61"/>
      <c r="K1433" s="61"/>
      <c r="L1433" s="61"/>
      <c r="M1433" s="61"/>
      <c r="N1433" s="61"/>
      <c r="O1433" s="61"/>
      <c r="P1433" s="61"/>
      <c r="Q1433" s="61"/>
      <c r="R1433" s="61"/>
      <c r="S1433" s="61"/>
      <c r="T1433" s="61"/>
      <c r="U1433" s="61"/>
      <c r="V1433" s="61"/>
      <c r="W1433" s="61"/>
      <c r="X1433" s="61"/>
      <c r="Y1433" s="61"/>
      <c r="Z1433" s="61"/>
    </row>
    <row r="1434" spans="1:26" ht="13">
      <c r="A1434" s="61"/>
      <c r="B1434" s="61"/>
      <c r="C1434" s="61"/>
      <c r="D1434" s="61"/>
      <c r="E1434" s="61"/>
      <c r="F1434" s="61"/>
      <c r="G1434" s="179"/>
      <c r="H1434" s="61"/>
      <c r="I1434" s="61"/>
      <c r="J1434" s="61"/>
      <c r="K1434" s="61"/>
      <c r="L1434" s="61"/>
      <c r="M1434" s="61"/>
      <c r="N1434" s="61"/>
      <c r="O1434" s="61"/>
      <c r="P1434" s="61"/>
      <c r="Q1434" s="61"/>
      <c r="R1434" s="61"/>
      <c r="S1434" s="61"/>
      <c r="T1434" s="61"/>
      <c r="U1434" s="61"/>
      <c r="V1434" s="61"/>
      <c r="W1434" s="61"/>
      <c r="X1434" s="61"/>
      <c r="Y1434" s="61"/>
      <c r="Z1434" s="61"/>
    </row>
    <row r="1435" spans="1:26" ht="13">
      <c r="A1435" s="61"/>
      <c r="B1435" s="61"/>
      <c r="C1435" s="61"/>
      <c r="D1435" s="61"/>
      <c r="E1435" s="61"/>
      <c r="F1435" s="61"/>
      <c r="G1435" s="179"/>
      <c r="H1435" s="61"/>
      <c r="I1435" s="61"/>
      <c r="J1435" s="61"/>
      <c r="K1435" s="61"/>
      <c r="L1435" s="61"/>
      <c r="M1435" s="61"/>
      <c r="N1435" s="61"/>
      <c r="O1435" s="61"/>
      <c r="P1435" s="61"/>
      <c r="Q1435" s="61"/>
      <c r="R1435" s="61"/>
      <c r="S1435" s="61"/>
      <c r="T1435" s="61"/>
      <c r="U1435" s="61"/>
      <c r="V1435" s="61"/>
      <c r="W1435" s="61"/>
      <c r="X1435" s="61"/>
      <c r="Y1435" s="61"/>
      <c r="Z1435" s="61"/>
    </row>
    <row r="1436" spans="1:26" ht="13">
      <c r="A1436" s="61"/>
      <c r="B1436" s="61"/>
      <c r="C1436" s="61"/>
      <c r="D1436" s="61"/>
      <c r="E1436" s="61"/>
      <c r="F1436" s="61"/>
      <c r="G1436" s="179"/>
      <c r="H1436" s="61"/>
      <c r="I1436" s="61"/>
      <c r="J1436" s="61"/>
      <c r="K1436" s="61"/>
      <c r="L1436" s="61"/>
      <c r="M1436" s="61"/>
      <c r="N1436" s="61"/>
      <c r="O1436" s="61"/>
      <c r="P1436" s="61"/>
      <c r="Q1436" s="61"/>
      <c r="R1436" s="61"/>
      <c r="S1436" s="61"/>
      <c r="T1436" s="61"/>
      <c r="U1436" s="61"/>
      <c r="V1436" s="61"/>
      <c r="W1436" s="61"/>
      <c r="X1436" s="61"/>
      <c r="Y1436" s="61"/>
      <c r="Z1436" s="61"/>
    </row>
    <row r="1437" spans="1:26" ht="13">
      <c r="A1437" s="61"/>
      <c r="B1437" s="61"/>
      <c r="C1437" s="61"/>
      <c r="D1437" s="61"/>
      <c r="E1437" s="61"/>
      <c r="F1437" s="61"/>
      <c r="G1437" s="179"/>
      <c r="H1437" s="61"/>
      <c r="I1437" s="61"/>
      <c r="J1437" s="61"/>
      <c r="K1437" s="61"/>
      <c r="L1437" s="61"/>
      <c r="M1437" s="61"/>
      <c r="N1437" s="61"/>
      <c r="O1437" s="61"/>
      <c r="P1437" s="61"/>
      <c r="Q1437" s="61"/>
      <c r="R1437" s="61"/>
      <c r="S1437" s="61"/>
      <c r="T1437" s="61"/>
      <c r="U1437" s="61"/>
      <c r="V1437" s="61"/>
      <c r="W1437" s="61"/>
      <c r="X1437" s="61"/>
      <c r="Y1437" s="61"/>
      <c r="Z1437" s="61"/>
    </row>
    <row r="1438" spans="1:26" ht="13">
      <c r="A1438" s="61"/>
      <c r="B1438" s="61"/>
      <c r="C1438" s="61"/>
      <c r="D1438" s="61"/>
      <c r="E1438" s="61"/>
      <c r="F1438" s="61"/>
      <c r="G1438" s="179"/>
      <c r="H1438" s="61"/>
      <c r="I1438" s="61"/>
      <c r="J1438" s="61"/>
      <c r="K1438" s="61"/>
      <c r="L1438" s="61"/>
      <c r="M1438" s="61"/>
      <c r="N1438" s="61"/>
      <c r="O1438" s="61"/>
      <c r="P1438" s="61"/>
      <c r="Q1438" s="61"/>
      <c r="R1438" s="61"/>
      <c r="S1438" s="61"/>
      <c r="T1438" s="61"/>
      <c r="U1438" s="61"/>
      <c r="V1438" s="61"/>
      <c r="W1438" s="61"/>
      <c r="X1438" s="61"/>
      <c r="Y1438" s="61"/>
      <c r="Z1438" s="61"/>
    </row>
    <row r="1439" spans="1:26" ht="13">
      <c r="A1439" s="61"/>
      <c r="B1439" s="61"/>
      <c r="C1439" s="61"/>
      <c r="D1439" s="61"/>
      <c r="E1439" s="61"/>
      <c r="F1439" s="61"/>
      <c r="G1439" s="179"/>
      <c r="H1439" s="61"/>
      <c r="I1439" s="61"/>
      <c r="J1439" s="61"/>
      <c r="K1439" s="61"/>
      <c r="L1439" s="61"/>
      <c r="M1439" s="61"/>
      <c r="N1439" s="61"/>
      <c r="O1439" s="61"/>
      <c r="P1439" s="61"/>
      <c r="Q1439" s="61"/>
      <c r="R1439" s="61"/>
      <c r="S1439" s="61"/>
      <c r="T1439" s="61"/>
      <c r="U1439" s="61"/>
      <c r="V1439" s="61"/>
      <c r="W1439" s="61"/>
      <c r="X1439" s="61"/>
      <c r="Y1439" s="61"/>
      <c r="Z1439" s="61"/>
    </row>
    <row r="1440" spans="1:26" ht="13">
      <c r="A1440" s="61"/>
      <c r="B1440" s="61"/>
      <c r="C1440" s="61"/>
      <c r="D1440" s="61"/>
      <c r="E1440" s="61"/>
      <c r="F1440" s="61"/>
      <c r="G1440" s="179"/>
      <c r="H1440" s="61"/>
      <c r="I1440" s="61"/>
      <c r="J1440" s="61"/>
      <c r="K1440" s="61"/>
      <c r="L1440" s="61"/>
      <c r="M1440" s="61"/>
      <c r="N1440" s="61"/>
      <c r="O1440" s="61"/>
      <c r="P1440" s="61"/>
      <c r="Q1440" s="61"/>
      <c r="R1440" s="61"/>
      <c r="S1440" s="61"/>
      <c r="T1440" s="61"/>
      <c r="U1440" s="61"/>
      <c r="V1440" s="61"/>
      <c r="W1440" s="61"/>
      <c r="X1440" s="61"/>
      <c r="Y1440" s="61"/>
      <c r="Z1440" s="61"/>
    </row>
    <row r="1441" spans="1:26" ht="13">
      <c r="A1441" s="61"/>
      <c r="B1441" s="61"/>
      <c r="C1441" s="61"/>
      <c r="D1441" s="61"/>
      <c r="E1441" s="61"/>
      <c r="F1441" s="61"/>
      <c r="G1441" s="179"/>
      <c r="H1441" s="61"/>
      <c r="I1441" s="61"/>
      <c r="J1441" s="61"/>
      <c r="K1441" s="61"/>
      <c r="L1441" s="61"/>
      <c r="M1441" s="61"/>
      <c r="N1441" s="61"/>
      <c r="O1441" s="61"/>
      <c r="P1441" s="61"/>
      <c r="Q1441" s="61"/>
      <c r="R1441" s="61"/>
      <c r="S1441" s="61"/>
      <c r="T1441" s="61"/>
      <c r="U1441" s="61"/>
      <c r="V1441" s="61"/>
      <c r="W1441" s="61"/>
      <c r="X1441" s="61"/>
      <c r="Y1441" s="61"/>
      <c r="Z1441" s="61"/>
    </row>
    <row r="1442" spans="1:26" ht="13">
      <c r="A1442" s="61"/>
      <c r="B1442" s="61"/>
      <c r="C1442" s="61"/>
      <c r="D1442" s="61"/>
      <c r="E1442" s="61"/>
      <c r="F1442" s="61"/>
      <c r="G1442" s="179"/>
      <c r="H1442" s="61"/>
      <c r="I1442" s="61"/>
      <c r="J1442" s="61"/>
      <c r="K1442" s="61"/>
      <c r="L1442" s="61"/>
      <c r="M1442" s="61"/>
      <c r="N1442" s="61"/>
      <c r="O1442" s="61"/>
      <c r="P1442" s="61"/>
      <c r="Q1442" s="61"/>
      <c r="R1442" s="61"/>
      <c r="S1442" s="61"/>
      <c r="T1442" s="61"/>
      <c r="U1442" s="61"/>
      <c r="V1442" s="61"/>
      <c r="W1442" s="61"/>
      <c r="X1442" s="61"/>
      <c r="Y1442" s="61"/>
      <c r="Z1442" s="61"/>
    </row>
    <row r="1443" spans="1:26" ht="13">
      <c r="A1443" s="61"/>
      <c r="B1443" s="61"/>
      <c r="C1443" s="61"/>
      <c r="D1443" s="61"/>
      <c r="E1443" s="61"/>
      <c r="F1443" s="61"/>
      <c r="G1443" s="179"/>
      <c r="H1443" s="61"/>
      <c r="I1443" s="61"/>
      <c r="J1443" s="61"/>
      <c r="K1443" s="61"/>
      <c r="L1443" s="61"/>
      <c r="M1443" s="61"/>
      <c r="N1443" s="61"/>
      <c r="O1443" s="61"/>
      <c r="P1443" s="61"/>
      <c r="Q1443" s="61"/>
      <c r="R1443" s="61"/>
      <c r="S1443" s="61"/>
      <c r="T1443" s="61"/>
      <c r="U1443" s="61"/>
      <c r="V1443" s="61"/>
      <c r="W1443" s="61"/>
      <c r="X1443" s="61"/>
      <c r="Y1443" s="61"/>
      <c r="Z1443" s="61"/>
    </row>
    <row r="1444" spans="1:26" ht="13">
      <c r="A1444" s="61"/>
      <c r="B1444" s="61"/>
      <c r="C1444" s="61"/>
      <c r="D1444" s="61"/>
      <c r="E1444" s="61"/>
      <c r="F1444" s="61"/>
      <c r="G1444" s="179"/>
      <c r="H1444" s="61"/>
      <c r="I1444" s="61"/>
      <c r="J1444" s="61"/>
      <c r="K1444" s="61"/>
      <c r="L1444" s="61"/>
      <c r="M1444" s="61"/>
      <c r="N1444" s="61"/>
      <c r="O1444" s="61"/>
      <c r="P1444" s="61"/>
      <c r="Q1444" s="61"/>
      <c r="R1444" s="61"/>
      <c r="S1444" s="61"/>
      <c r="T1444" s="61"/>
      <c r="U1444" s="61"/>
      <c r="V1444" s="61"/>
      <c r="W1444" s="61"/>
      <c r="X1444" s="61"/>
      <c r="Y1444" s="61"/>
      <c r="Z1444" s="61"/>
    </row>
    <row r="1445" spans="1:26" ht="13">
      <c r="A1445" s="61"/>
      <c r="B1445" s="61"/>
      <c r="C1445" s="61"/>
      <c r="D1445" s="61"/>
      <c r="E1445" s="61"/>
      <c r="F1445" s="61"/>
      <c r="G1445" s="179"/>
      <c r="H1445" s="61"/>
      <c r="I1445" s="61"/>
      <c r="J1445" s="61"/>
      <c r="K1445" s="61"/>
      <c r="L1445" s="61"/>
      <c r="M1445" s="61"/>
      <c r="N1445" s="61"/>
      <c r="O1445" s="61"/>
      <c r="P1445" s="61"/>
      <c r="Q1445" s="61"/>
      <c r="R1445" s="61"/>
      <c r="S1445" s="61"/>
      <c r="T1445" s="61"/>
      <c r="U1445" s="61"/>
      <c r="V1445" s="61"/>
      <c r="W1445" s="61"/>
      <c r="X1445" s="61"/>
      <c r="Y1445" s="61"/>
      <c r="Z1445" s="61"/>
    </row>
    <row r="1446" spans="1:26" ht="13">
      <c r="A1446" s="61"/>
      <c r="B1446" s="61"/>
      <c r="C1446" s="61"/>
      <c r="D1446" s="61"/>
      <c r="E1446" s="61"/>
      <c r="F1446" s="61"/>
      <c r="G1446" s="179"/>
      <c r="H1446" s="61"/>
      <c r="I1446" s="61"/>
      <c r="J1446" s="61"/>
      <c r="K1446" s="61"/>
      <c r="L1446" s="61"/>
      <c r="M1446" s="61"/>
      <c r="N1446" s="61"/>
      <c r="O1446" s="61"/>
      <c r="P1446" s="61"/>
      <c r="Q1446" s="61"/>
      <c r="R1446" s="61"/>
      <c r="S1446" s="61"/>
      <c r="T1446" s="61"/>
      <c r="U1446" s="61"/>
      <c r="V1446" s="61"/>
      <c r="W1446" s="61"/>
      <c r="X1446" s="61"/>
      <c r="Y1446" s="61"/>
      <c r="Z1446" s="61"/>
    </row>
    <row r="1447" spans="1:26" ht="13">
      <c r="A1447" s="61"/>
      <c r="B1447" s="61"/>
      <c r="C1447" s="61"/>
      <c r="D1447" s="61"/>
      <c r="E1447" s="61"/>
      <c r="F1447" s="61"/>
      <c r="G1447" s="179"/>
      <c r="H1447" s="61"/>
      <c r="I1447" s="61"/>
      <c r="J1447" s="61"/>
      <c r="K1447" s="61"/>
      <c r="L1447" s="61"/>
      <c r="M1447" s="61"/>
      <c r="N1447" s="61"/>
      <c r="O1447" s="61"/>
      <c r="P1447" s="61"/>
      <c r="Q1447" s="61"/>
      <c r="R1447" s="61"/>
      <c r="S1447" s="61"/>
      <c r="T1447" s="61"/>
      <c r="U1447" s="61"/>
      <c r="V1447" s="61"/>
      <c r="W1447" s="61"/>
      <c r="X1447" s="61"/>
      <c r="Y1447" s="61"/>
      <c r="Z1447" s="61"/>
    </row>
    <row r="1448" spans="1:26" ht="13">
      <c r="A1448" s="61"/>
      <c r="B1448" s="61"/>
      <c r="C1448" s="61"/>
      <c r="D1448" s="61"/>
      <c r="E1448" s="61"/>
      <c r="F1448" s="61"/>
      <c r="G1448" s="179"/>
      <c r="H1448" s="61"/>
      <c r="I1448" s="61"/>
      <c r="J1448" s="61"/>
      <c r="K1448" s="61"/>
      <c r="L1448" s="61"/>
      <c r="M1448" s="61"/>
      <c r="N1448" s="61"/>
      <c r="O1448" s="61"/>
      <c r="P1448" s="61"/>
      <c r="Q1448" s="61"/>
      <c r="R1448" s="61"/>
      <c r="S1448" s="61"/>
      <c r="T1448" s="61"/>
      <c r="U1448" s="61"/>
      <c r="V1448" s="61"/>
      <c r="W1448" s="61"/>
      <c r="X1448" s="61"/>
      <c r="Y1448" s="61"/>
      <c r="Z1448" s="61"/>
    </row>
    <row r="1449" spans="1:26" ht="13">
      <c r="A1449" s="61"/>
      <c r="B1449" s="61"/>
      <c r="C1449" s="61"/>
      <c r="D1449" s="61"/>
      <c r="E1449" s="61"/>
      <c r="F1449" s="61"/>
      <c r="G1449" s="179"/>
      <c r="H1449" s="61"/>
      <c r="I1449" s="61"/>
      <c r="J1449" s="61"/>
      <c r="K1449" s="61"/>
      <c r="L1449" s="61"/>
      <c r="M1449" s="61"/>
      <c r="N1449" s="61"/>
      <c r="O1449" s="61"/>
      <c r="P1449" s="61"/>
      <c r="Q1449" s="61"/>
      <c r="R1449" s="61"/>
      <c r="S1449" s="61"/>
      <c r="T1449" s="61"/>
      <c r="U1449" s="61"/>
      <c r="V1449" s="61"/>
      <c r="W1449" s="61"/>
      <c r="X1449" s="61"/>
      <c r="Y1449" s="61"/>
      <c r="Z1449" s="61"/>
    </row>
    <row r="1450" spans="1:26" ht="13">
      <c r="A1450" s="61"/>
      <c r="B1450" s="61"/>
      <c r="C1450" s="61"/>
      <c r="D1450" s="61"/>
      <c r="E1450" s="61"/>
      <c r="F1450" s="61"/>
      <c r="G1450" s="179"/>
      <c r="H1450" s="61"/>
      <c r="I1450" s="61"/>
      <c r="J1450" s="61"/>
      <c r="K1450" s="61"/>
      <c r="L1450" s="61"/>
      <c r="M1450" s="61"/>
      <c r="N1450" s="61"/>
      <c r="O1450" s="61"/>
      <c r="P1450" s="61"/>
      <c r="Q1450" s="61"/>
      <c r="R1450" s="61"/>
      <c r="S1450" s="61"/>
      <c r="T1450" s="61"/>
      <c r="U1450" s="61"/>
      <c r="V1450" s="61"/>
      <c r="W1450" s="61"/>
      <c r="X1450" s="61"/>
      <c r="Y1450" s="61"/>
      <c r="Z1450" s="61"/>
    </row>
    <row r="1451" spans="1:26" ht="13">
      <c r="A1451" s="61"/>
      <c r="B1451" s="61"/>
      <c r="C1451" s="61"/>
      <c r="D1451" s="61"/>
      <c r="E1451" s="61"/>
      <c r="F1451" s="61"/>
      <c r="G1451" s="179"/>
      <c r="H1451" s="61"/>
      <c r="I1451" s="61"/>
      <c r="J1451" s="61"/>
      <c r="K1451" s="61"/>
      <c r="L1451" s="61"/>
      <c r="M1451" s="61"/>
      <c r="N1451" s="61"/>
      <c r="O1451" s="61"/>
      <c r="P1451" s="61"/>
      <c r="Q1451" s="61"/>
      <c r="R1451" s="61"/>
      <c r="S1451" s="61"/>
      <c r="T1451" s="61"/>
      <c r="U1451" s="61"/>
      <c r="V1451" s="61"/>
      <c r="W1451" s="61"/>
      <c r="X1451" s="61"/>
      <c r="Y1451" s="61"/>
      <c r="Z1451" s="61"/>
    </row>
    <row r="1452" spans="1:26" ht="13">
      <c r="A1452" s="61"/>
      <c r="B1452" s="61"/>
      <c r="C1452" s="61"/>
      <c r="D1452" s="61"/>
      <c r="E1452" s="61"/>
      <c r="F1452" s="61"/>
      <c r="G1452" s="179"/>
      <c r="H1452" s="61"/>
      <c r="I1452" s="61"/>
      <c r="J1452" s="61"/>
      <c r="K1452" s="61"/>
      <c r="L1452" s="61"/>
      <c r="M1452" s="61"/>
      <c r="N1452" s="61"/>
      <c r="O1452" s="61"/>
      <c r="P1452" s="61"/>
      <c r="Q1452" s="61"/>
      <c r="R1452" s="61"/>
      <c r="S1452" s="61"/>
      <c r="T1452" s="61"/>
      <c r="U1452" s="61"/>
      <c r="V1452" s="61"/>
      <c r="W1452" s="61"/>
      <c r="X1452" s="61"/>
      <c r="Y1452" s="61"/>
      <c r="Z1452" s="61"/>
    </row>
    <row r="1453" spans="1:26" ht="13">
      <c r="A1453" s="61"/>
      <c r="B1453" s="61"/>
      <c r="C1453" s="61"/>
      <c r="D1453" s="61"/>
      <c r="E1453" s="61"/>
      <c r="F1453" s="61"/>
      <c r="G1453" s="179"/>
      <c r="H1453" s="61"/>
      <c r="I1453" s="61"/>
      <c r="J1453" s="61"/>
      <c r="K1453" s="61"/>
      <c r="L1453" s="61"/>
      <c r="M1453" s="61"/>
      <c r="N1453" s="61"/>
      <c r="O1453" s="61"/>
      <c r="P1453" s="61"/>
      <c r="Q1453" s="61"/>
      <c r="R1453" s="61"/>
      <c r="S1453" s="61"/>
      <c r="T1453" s="61"/>
      <c r="U1453" s="61"/>
      <c r="V1453" s="61"/>
      <c r="W1453" s="61"/>
      <c r="X1453" s="61"/>
      <c r="Y1453" s="61"/>
      <c r="Z1453" s="61"/>
    </row>
    <row r="1454" spans="1:26" ht="13">
      <c r="A1454" s="61"/>
      <c r="B1454" s="61"/>
      <c r="C1454" s="61"/>
      <c r="D1454" s="61"/>
      <c r="E1454" s="61"/>
      <c r="F1454" s="61"/>
      <c r="G1454" s="179"/>
      <c r="H1454" s="61"/>
      <c r="I1454" s="61"/>
      <c r="J1454" s="61"/>
      <c r="K1454" s="61"/>
      <c r="L1454" s="61"/>
      <c r="M1454" s="61"/>
      <c r="N1454" s="61"/>
      <c r="O1454" s="61"/>
      <c r="P1454" s="61"/>
      <c r="Q1454" s="61"/>
      <c r="R1454" s="61"/>
      <c r="S1454" s="61"/>
      <c r="T1454" s="61"/>
      <c r="U1454" s="61"/>
      <c r="V1454" s="61"/>
      <c r="W1454" s="61"/>
      <c r="X1454" s="61"/>
      <c r="Y1454" s="61"/>
      <c r="Z1454" s="61"/>
    </row>
    <row r="1455" spans="1:26" ht="13">
      <c r="A1455" s="61"/>
      <c r="B1455" s="61"/>
      <c r="C1455" s="61"/>
      <c r="D1455" s="61"/>
      <c r="E1455" s="61"/>
      <c r="F1455" s="61"/>
      <c r="G1455" s="179"/>
      <c r="H1455" s="61"/>
      <c r="I1455" s="61"/>
      <c r="J1455" s="61"/>
      <c r="K1455" s="61"/>
      <c r="L1455" s="61"/>
      <c r="M1455" s="61"/>
      <c r="N1455" s="61"/>
      <c r="O1455" s="61"/>
      <c r="P1455" s="61"/>
      <c r="Q1455" s="61"/>
      <c r="R1455" s="61"/>
      <c r="S1455" s="61"/>
      <c r="T1455" s="61"/>
      <c r="U1455" s="61"/>
      <c r="V1455" s="61"/>
      <c r="W1455" s="61"/>
      <c r="X1455" s="61"/>
      <c r="Y1455" s="61"/>
      <c r="Z1455" s="61"/>
    </row>
    <row r="1456" spans="1:26" ht="13">
      <c r="A1456" s="61"/>
      <c r="B1456" s="61"/>
      <c r="C1456" s="61"/>
      <c r="D1456" s="61"/>
      <c r="E1456" s="61"/>
      <c r="F1456" s="61"/>
      <c r="G1456" s="179"/>
      <c r="H1456" s="61"/>
      <c r="I1456" s="61"/>
      <c r="J1456" s="61"/>
      <c r="K1456" s="61"/>
      <c r="L1456" s="61"/>
      <c r="M1456" s="61"/>
      <c r="N1456" s="61"/>
      <c r="O1456" s="61"/>
      <c r="P1456" s="61"/>
      <c r="Q1456" s="61"/>
      <c r="R1456" s="61"/>
      <c r="S1456" s="61"/>
      <c r="T1456" s="61"/>
      <c r="U1456" s="61"/>
      <c r="V1456" s="61"/>
      <c r="W1456" s="61"/>
      <c r="X1456" s="61"/>
      <c r="Y1456" s="61"/>
      <c r="Z1456" s="61"/>
    </row>
    <row r="1457" spans="1:26" ht="13">
      <c r="A1457" s="61"/>
      <c r="B1457" s="61"/>
      <c r="C1457" s="61"/>
      <c r="D1457" s="61"/>
      <c r="E1457" s="61"/>
      <c r="F1457" s="61"/>
      <c r="G1457" s="179"/>
      <c r="H1457" s="61"/>
      <c r="I1457" s="61"/>
      <c r="J1457" s="61"/>
      <c r="K1457" s="61"/>
      <c r="L1457" s="61"/>
      <c r="M1457" s="61"/>
      <c r="N1457" s="61"/>
      <c r="O1457" s="61"/>
      <c r="P1457" s="61"/>
      <c r="Q1457" s="61"/>
      <c r="R1457" s="61"/>
      <c r="S1457" s="61"/>
      <c r="T1457" s="61"/>
      <c r="U1457" s="61"/>
      <c r="V1457" s="61"/>
      <c r="W1457" s="61"/>
      <c r="X1457" s="61"/>
      <c r="Y1457" s="61"/>
      <c r="Z1457" s="61"/>
    </row>
    <row r="1458" spans="1:26" ht="13">
      <c r="A1458" s="61"/>
      <c r="B1458" s="61"/>
      <c r="C1458" s="61"/>
      <c r="D1458" s="61"/>
      <c r="E1458" s="61"/>
      <c r="F1458" s="61"/>
      <c r="G1458" s="179"/>
      <c r="H1458" s="61"/>
      <c r="I1458" s="61"/>
      <c r="J1458" s="61"/>
      <c r="K1458" s="61"/>
      <c r="L1458" s="61"/>
      <c r="M1458" s="61"/>
      <c r="N1458" s="61"/>
      <c r="O1458" s="61"/>
      <c r="P1458" s="61"/>
      <c r="Q1458" s="61"/>
      <c r="R1458" s="61"/>
      <c r="S1458" s="61"/>
      <c r="T1458" s="61"/>
      <c r="U1458" s="61"/>
      <c r="V1458" s="61"/>
      <c r="W1458" s="61"/>
      <c r="X1458" s="61"/>
      <c r="Y1458" s="61"/>
      <c r="Z1458" s="61"/>
    </row>
    <row r="1459" spans="1:26" ht="13">
      <c r="A1459" s="61"/>
      <c r="B1459" s="61"/>
      <c r="C1459" s="61"/>
      <c r="D1459" s="61"/>
      <c r="E1459" s="61"/>
      <c r="F1459" s="61"/>
      <c r="G1459" s="179"/>
      <c r="H1459" s="61"/>
      <c r="I1459" s="61"/>
      <c r="J1459" s="61"/>
      <c r="K1459" s="61"/>
      <c r="L1459" s="61"/>
      <c r="M1459" s="61"/>
      <c r="N1459" s="61"/>
      <c r="O1459" s="61"/>
      <c r="P1459" s="61"/>
      <c r="Q1459" s="61"/>
      <c r="R1459" s="61"/>
      <c r="S1459" s="61"/>
      <c r="T1459" s="61"/>
      <c r="U1459" s="61"/>
      <c r="V1459" s="61"/>
      <c r="W1459" s="61"/>
      <c r="X1459" s="61"/>
      <c r="Y1459" s="61"/>
      <c r="Z1459" s="61"/>
    </row>
    <row r="1460" spans="1:26" ht="13">
      <c r="A1460" s="61"/>
      <c r="B1460" s="61"/>
      <c r="C1460" s="61"/>
      <c r="D1460" s="61"/>
      <c r="E1460" s="61"/>
      <c r="F1460" s="61"/>
      <c r="G1460" s="179"/>
      <c r="H1460" s="61"/>
      <c r="I1460" s="61"/>
      <c r="J1460" s="61"/>
      <c r="K1460" s="61"/>
      <c r="L1460" s="61"/>
      <c r="M1460" s="61"/>
      <c r="N1460" s="61"/>
      <c r="O1460" s="61"/>
      <c r="P1460" s="61"/>
      <c r="Q1460" s="61"/>
      <c r="R1460" s="61"/>
      <c r="S1460" s="61"/>
      <c r="T1460" s="61"/>
      <c r="U1460" s="61"/>
      <c r="V1460" s="61"/>
      <c r="W1460" s="61"/>
      <c r="X1460" s="61"/>
      <c r="Y1460" s="61"/>
      <c r="Z1460" s="61"/>
    </row>
    <row r="1461" spans="1:26" ht="13">
      <c r="A1461" s="61"/>
      <c r="B1461" s="61"/>
      <c r="C1461" s="61"/>
      <c r="D1461" s="61"/>
      <c r="E1461" s="61"/>
      <c r="F1461" s="61"/>
      <c r="G1461" s="179"/>
      <c r="H1461" s="61"/>
      <c r="I1461" s="61"/>
      <c r="J1461" s="61"/>
      <c r="K1461" s="61"/>
      <c r="L1461" s="61"/>
      <c r="M1461" s="61"/>
      <c r="N1461" s="61"/>
      <c r="O1461" s="61"/>
      <c r="P1461" s="61"/>
      <c r="Q1461" s="61"/>
      <c r="R1461" s="61"/>
      <c r="S1461" s="61"/>
      <c r="T1461" s="61"/>
      <c r="U1461" s="61"/>
      <c r="V1461" s="61"/>
      <c r="W1461" s="61"/>
      <c r="X1461" s="61"/>
      <c r="Y1461" s="61"/>
      <c r="Z1461" s="61"/>
    </row>
    <row r="1462" spans="1:26" ht="13">
      <c r="A1462" s="61"/>
      <c r="B1462" s="61"/>
      <c r="C1462" s="61"/>
      <c r="D1462" s="61"/>
      <c r="E1462" s="61"/>
      <c r="F1462" s="61"/>
      <c r="G1462" s="179"/>
      <c r="H1462" s="61"/>
      <c r="I1462" s="61"/>
      <c r="J1462" s="61"/>
      <c r="K1462" s="61"/>
      <c r="L1462" s="61"/>
      <c r="M1462" s="61"/>
      <c r="N1462" s="61"/>
      <c r="O1462" s="61"/>
      <c r="P1462" s="61"/>
      <c r="Q1462" s="61"/>
      <c r="R1462" s="61"/>
      <c r="S1462" s="61"/>
      <c r="T1462" s="61"/>
      <c r="U1462" s="61"/>
      <c r="V1462" s="61"/>
      <c r="W1462" s="61"/>
      <c r="X1462" s="61"/>
      <c r="Y1462" s="61"/>
      <c r="Z1462" s="61"/>
    </row>
    <row r="1463" spans="1:26" ht="13">
      <c r="A1463" s="61"/>
      <c r="B1463" s="61"/>
      <c r="C1463" s="61"/>
      <c r="D1463" s="61"/>
      <c r="E1463" s="61"/>
      <c r="F1463" s="61"/>
      <c r="G1463" s="179"/>
      <c r="H1463" s="61"/>
      <c r="I1463" s="61"/>
      <c r="J1463" s="61"/>
      <c r="K1463" s="61"/>
      <c r="L1463" s="61"/>
      <c r="M1463" s="61"/>
      <c r="N1463" s="61"/>
      <c r="O1463" s="61"/>
      <c r="P1463" s="61"/>
      <c r="Q1463" s="61"/>
      <c r="R1463" s="61"/>
      <c r="S1463" s="61"/>
      <c r="T1463" s="61"/>
      <c r="U1463" s="61"/>
      <c r="V1463" s="61"/>
      <c r="W1463" s="61"/>
      <c r="X1463" s="61"/>
      <c r="Y1463" s="61"/>
      <c r="Z1463" s="61"/>
    </row>
    <row r="1464" spans="1:26" ht="13">
      <c r="A1464" s="61"/>
      <c r="B1464" s="61"/>
      <c r="C1464" s="61"/>
      <c r="D1464" s="61"/>
      <c r="E1464" s="61"/>
      <c r="F1464" s="61"/>
      <c r="G1464" s="179"/>
      <c r="H1464" s="61"/>
      <c r="I1464" s="61"/>
      <c r="J1464" s="61"/>
      <c r="K1464" s="61"/>
      <c r="L1464" s="61"/>
      <c r="M1464" s="61"/>
      <c r="N1464" s="61"/>
      <c r="O1464" s="61"/>
      <c r="P1464" s="61"/>
      <c r="Q1464" s="61"/>
      <c r="R1464" s="61"/>
      <c r="S1464" s="61"/>
      <c r="T1464" s="61"/>
      <c r="U1464" s="61"/>
      <c r="V1464" s="61"/>
      <c r="W1464" s="61"/>
      <c r="X1464" s="61"/>
      <c r="Y1464" s="61"/>
      <c r="Z1464" s="61"/>
    </row>
    <row r="1465" spans="1:26" ht="13">
      <c r="A1465" s="61"/>
      <c r="B1465" s="61"/>
      <c r="C1465" s="61"/>
      <c r="D1465" s="61"/>
      <c r="E1465" s="61"/>
      <c r="F1465" s="61"/>
      <c r="G1465" s="179"/>
      <c r="H1465" s="61"/>
      <c r="I1465" s="61"/>
      <c r="J1465" s="61"/>
      <c r="K1465" s="61"/>
      <c r="L1465" s="61"/>
      <c r="M1465" s="61"/>
      <c r="N1465" s="61"/>
      <c r="O1465" s="61"/>
      <c r="P1465" s="61"/>
      <c r="Q1465" s="61"/>
      <c r="R1465" s="61"/>
      <c r="S1465" s="61"/>
      <c r="T1465" s="61"/>
      <c r="U1465" s="61"/>
      <c r="V1465" s="61"/>
      <c r="W1465" s="61"/>
      <c r="X1465" s="61"/>
      <c r="Y1465" s="61"/>
      <c r="Z1465" s="61"/>
    </row>
    <row r="1466" spans="1:26" ht="13">
      <c r="A1466" s="61"/>
      <c r="B1466" s="61"/>
      <c r="C1466" s="61"/>
      <c r="D1466" s="61"/>
      <c r="E1466" s="61"/>
      <c r="F1466" s="61"/>
      <c r="G1466" s="179"/>
      <c r="H1466" s="61"/>
      <c r="I1466" s="61"/>
      <c r="J1466" s="61"/>
      <c r="K1466" s="61"/>
      <c r="L1466" s="61"/>
      <c r="M1466" s="61"/>
      <c r="N1466" s="61"/>
      <c r="O1466" s="61"/>
      <c r="P1466" s="61"/>
      <c r="Q1466" s="61"/>
      <c r="R1466" s="61"/>
      <c r="S1466" s="61"/>
      <c r="T1466" s="61"/>
      <c r="U1466" s="61"/>
      <c r="V1466" s="61"/>
      <c r="W1466" s="61"/>
      <c r="X1466" s="61"/>
      <c r="Y1466" s="61"/>
      <c r="Z1466" s="61"/>
    </row>
    <row r="1467" spans="1:26" ht="13">
      <c r="A1467" s="61"/>
      <c r="B1467" s="61"/>
      <c r="C1467" s="61"/>
      <c r="D1467" s="61"/>
      <c r="E1467" s="61"/>
      <c r="F1467" s="61"/>
      <c r="G1467" s="179"/>
      <c r="H1467" s="61"/>
      <c r="I1467" s="61"/>
      <c r="J1467" s="61"/>
      <c r="K1467" s="61"/>
      <c r="L1467" s="61"/>
      <c r="M1467" s="61"/>
      <c r="N1467" s="61"/>
      <c r="O1467" s="61"/>
      <c r="P1467" s="61"/>
      <c r="Q1467" s="61"/>
      <c r="R1467" s="61"/>
      <c r="S1467" s="61"/>
      <c r="T1467" s="61"/>
      <c r="U1467" s="61"/>
      <c r="V1467" s="61"/>
      <c r="W1467" s="61"/>
      <c r="X1467" s="61"/>
      <c r="Y1467" s="61"/>
      <c r="Z1467" s="61"/>
    </row>
    <row r="1468" spans="1:26" ht="13">
      <c r="A1468" s="61"/>
      <c r="B1468" s="61"/>
      <c r="C1468" s="61"/>
      <c r="D1468" s="61"/>
      <c r="E1468" s="61"/>
      <c r="F1468" s="61"/>
      <c r="G1468" s="179"/>
      <c r="H1468" s="61"/>
      <c r="I1468" s="61"/>
      <c r="J1468" s="61"/>
      <c r="K1468" s="61"/>
      <c r="L1468" s="61"/>
      <c r="M1468" s="61"/>
      <c r="N1468" s="61"/>
      <c r="O1468" s="61"/>
      <c r="P1468" s="61"/>
      <c r="Q1468" s="61"/>
      <c r="R1468" s="61"/>
      <c r="S1468" s="61"/>
      <c r="T1468" s="61"/>
      <c r="U1468" s="61"/>
      <c r="V1468" s="61"/>
      <c r="W1468" s="61"/>
      <c r="X1468" s="61"/>
      <c r="Y1468" s="61"/>
      <c r="Z1468" s="61"/>
    </row>
    <row r="1469" spans="1:26" ht="13">
      <c r="A1469" s="61"/>
      <c r="B1469" s="61"/>
      <c r="C1469" s="61"/>
      <c r="D1469" s="61"/>
      <c r="E1469" s="61"/>
      <c r="F1469" s="61"/>
      <c r="G1469" s="179"/>
      <c r="H1469" s="61"/>
      <c r="I1469" s="61"/>
      <c r="J1469" s="61"/>
      <c r="K1469" s="61"/>
      <c r="L1469" s="61"/>
      <c r="M1469" s="61"/>
      <c r="N1469" s="61"/>
      <c r="O1469" s="61"/>
      <c r="P1469" s="61"/>
      <c r="Q1469" s="61"/>
      <c r="R1469" s="61"/>
      <c r="S1469" s="61"/>
      <c r="T1469" s="61"/>
      <c r="U1469" s="61"/>
      <c r="V1469" s="61"/>
      <c r="W1469" s="61"/>
      <c r="X1469" s="61"/>
      <c r="Y1469" s="61"/>
      <c r="Z1469" s="61"/>
    </row>
    <row r="1470" spans="1:26" ht="13">
      <c r="A1470" s="61"/>
      <c r="B1470" s="61"/>
      <c r="C1470" s="61"/>
      <c r="D1470" s="61"/>
      <c r="E1470" s="61"/>
      <c r="F1470" s="61"/>
      <c r="G1470" s="179"/>
      <c r="H1470" s="61"/>
      <c r="I1470" s="61"/>
      <c r="J1470" s="61"/>
      <c r="K1470" s="61"/>
      <c r="L1470" s="61"/>
      <c r="M1470" s="61"/>
      <c r="N1470" s="61"/>
      <c r="O1470" s="61"/>
      <c r="P1470" s="61"/>
      <c r="Q1470" s="61"/>
      <c r="R1470" s="61"/>
      <c r="S1470" s="61"/>
      <c r="T1470" s="61"/>
      <c r="U1470" s="61"/>
      <c r="V1470" s="61"/>
      <c r="W1470" s="61"/>
      <c r="X1470" s="61"/>
      <c r="Y1470" s="61"/>
      <c r="Z1470" s="61"/>
    </row>
    <row r="1471" spans="1:26" ht="13">
      <c r="A1471" s="61"/>
      <c r="B1471" s="61"/>
      <c r="C1471" s="61"/>
      <c r="D1471" s="61"/>
      <c r="E1471" s="61"/>
      <c r="F1471" s="61"/>
      <c r="G1471" s="179"/>
      <c r="H1471" s="61"/>
      <c r="I1471" s="61"/>
      <c r="J1471" s="61"/>
      <c r="K1471" s="61"/>
      <c r="L1471" s="61"/>
      <c r="M1471" s="61"/>
      <c r="N1471" s="61"/>
      <c r="O1471" s="61"/>
      <c r="P1471" s="61"/>
      <c r="Q1471" s="61"/>
      <c r="R1471" s="61"/>
      <c r="S1471" s="61"/>
      <c r="T1471" s="61"/>
      <c r="U1471" s="61"/>
      <c r="V1471" s="61"/>
      <c r="W1471" s="61"/>
      <c r="X1471" s="61"/>
      <c r="Y1471" s="61"/>
      <c r="Z1471" s="61"/>
    </row>
    <row r="1472" spans="1:26" ht="13">
      <c r="A1472" s="61"/>
      <c r="B1472" s="61"/>
      <c r="C1472" s="61"/>
      <c r="D1472" s="61"/>
      <c r="E1472" s="61"/>
      <c r="F1472" s="61"/>
      <c r="G1472" s="179"/>
      <c r="H1472" s="61"/>
      <c r="I1472" s="61"/>
      <c r="J1472" s="61"/>
      <c r="K1472" s="61"/>
      <c r="L1472" s="61"/>
      <c r="M1472" s="61"/>
      <c r="N1472" s="61"/>
      <c r="O1472" s="61"/>
      <c r="P1472" s="61"/>
      <c r="Q1472" s="61"/>
      <c r="R1472" s="61"/>
      <c r="S1472" s="61"/>
      <c r="T1472" s="61"/>
      <c r="U1472" s="61"/>
      <c r="V1472" s="61"/>
      <c r="W1472" s="61"/>
      <c r="X1472" s="61"/>
      <c r="Y1472" s="61"/>
      <c r="Z1472" s="61"/>
    </row>
    <row r="1473" spans="1:26" ht="13">
      <c r="A1473" s="61"/>
      <c r="B1473" s="61"/>
      <c r="C1473" s="61"/>
      <c r="D1473" s="61"/>
      <c r="E1473" s="61"/>
      <c r="F1473" s="61"/>
      <c r="G1473" s="179"/>
      <c r="H1473" s="61"/>
      <c r="I1473" s="61"/>
      <c r="J1473" s="61"/>
      <c r="K1473" s="61"/>
      <c r="L1473" s="61"/>
      <c r="M1473" s="61"/>
      <c r="N1473" s="61"/>
      <c r="O1473" s="61"/>
      <c r="P1473" s="61"/>
      <c r="Q1473" s="61"/>
      <c r="R1473" s="61"/>
      <c r="S1473" s="61"/>
      <c r="T1473" s="61"/>
      <c r="U1473" s="61"/>
      <c r="V1473" s="61"/>
      <c r="W1473" s="61"/>
      <c r="X1473" s="61"/>
      <c r="Y1473" s="61"/>
      <c r="Z1473" s="61"/>
    </row>
    <row r="1474" spans="1:26" ht="13">
      <c r="A1474" s="61"/>
      <c r="B1474" s="61"/>
      <c r="C1474" s="61"/>
      <c r="D1474" s="61"/>
      <c r="E1474" s="61"/>
      <c r="F1474" s="61"/>
      <c r="G1474" s="179"/>
      <c r="H1474" s="61"/>
      <c r="I1474" s="61"/>
      <c r="J1474" s="61"/>
      <c r="K1474" s="61"/>
      <c r="L1474" s="61"/>
      <c r="M1474" s="61"/>
      <c r="N1474" s="61"/>
      <c r="O1474" s="61"/>
      <c r="P1474" s="61"/>
      <c r="Q1474" s="61"/>
      <c r="R1474" s="61"/>
      <c r="S1474" s="61"/>
      <c r="T1474" s="61"/>
      <c r="U1474" s="61"/>
      <c r="V1474" s="61"/>
      <c r="W1474" s="61"/>
      <c r="X1474" s="61"/>
      <c r="Y1474" s="61"/>
      <c r="Z1474" s="61"/>
    </row>
    <row r="1475" spans="1:26" ht="13">
      <c r="A1475" s="61"/>
      <c r="B1475" s="61"/>
      <c r="C1475" s="61"/>
      <c r="D1475" s="61"/>
      <c r="E1475" s="61"/>
      <c r="F1475" s="61"/>
      <c r="G1475" s="179"/>
      <c r="H1475" s="61"/>
      <c r="I1475" s="61"/>
      <c r="J1475" s="61"/>
      <c r="K1475" s="61"/>
      <c r="L1475" s="61"/>
      <c r="M1475" s="61"/>
      <c r="N1475" s="61"/>
      <c r="O1475" s="61"/>
      <c r="P1475" s="61"/>
      <c r="Q1475" s="61"/>
      <c r="R1475" s="61"/>
      <c r="S1475" s="61"/>
      <c r="T1475" s="61"/>
      <c r="U1475" s="61"/>
      <c r="V1475" s="61"/>
      <c r="W1475" s="61"/>
      <c r="X1475" s="61"/>
      <c r="Y1475" s="61"/>
      <c r="Z1475" s="61"/>
    </row>
    <row r="1476" spans="1:26" ht="13">
      <c r="A1476" s="61"/>
      <c r="B1476" s="61"/>
      <c r="C1476" s="61"/>
      <c r="D1476" s="61"/>
      <c r="E1476" s="61"/>
      <c r="F1476" s="61"/>
      <c r="G1476" s="179"/>
      <c r="H1476" s="61"/>
      <c r="I1476" s="61"/>
      <c r="J1476" s="61"/>
      <c r="K1476" s="61"/>
      <c r="L1476" s="61"/>
      <c r="M1476" s="61"/>
      <c r="N1476" s="61"/>
      <c r="O1476" s="61"/>
      <c r="P1476" s="61"/>
      <c r="Q1476" s="61"/>
      <c r="R1476" s="61"/>
      <c r="S1476" s="61"/>
      <c r="T1476" s="61"/>
      <c r="U1476" s="61"/>
      <c r="V1476" s="61"/>
      <c r="W1476" s="61"/>
      <c r="X1476" s="61"/>
      <c r="Y1476" s="61"/>
      <c r="Z1476" s="61"/>
    </row>
    <row r="1477" spans="1:26" ht="13">
      <c r="A1477" s="61"/>
      <c r="B1477" s="61"/>
      <c r="C1477" s="61"/>
      <c r="D1477" s="61"/>
      <c r="E1477" s="61"/>
      <c r="F1477" s="61"/>
      <c r="G1477" s="179"/>
      <c r="H1477" s="61"/>
      <c r="I1477" s="61"/>
      <c r="J1477" s="61"/>
      <c r="K1477" s="61"/>
      <c r="L1477" s="61"/>
      <c r="M1477" s="61"/>
      <c r="N1477" s="61"/>
      <c r="O1477" s="61"/>
      <c r="P1477" s="61"/>
      <c r="Q1477" s="61"/>
      <c r="R1477" s="61"/>
      <c r="S1477" s="61"/>
      <c r="T1477" s="61"/>
      <c r="U1477" s="61"/>
      <c r="V1477" s="61"/>
      <c r="W1477" s="61"/>
      <c r="X1477" s="61"/>
      <c r="Y1477" s="61"/>
      <c r="Z1477" s="61"/>
    </row>
    <row r="1478" spans="1:26" ht="13">
      <c r="A1478" s="61"/>
      <c r="B1478" s="61"/>
      <c r="C1478" s="61"/>
      <c r="D1478" s="61"/>
      <c r="E1478" s="61"/>
      <c r="F1478" s="61"/>
      <c r="G1478" s="179"/>
      <c r="H1478" s="61"/>
      <c r="I1478" s="61"/>
      <c r="J1478" s="61"/>
      <c r="K1478" s="61"/>
      <c r="L1478" s="61"/>
      <c r="M1478" s="61"/>
      <c r="N1478" s="61"/>
      <c r="O1478" s="61"/>
      <c r="P1478" s="61"/>
      <c r="Q1478" s="61"/>
      <c r="R1478" s="61"/>
      <c r="S1478" s="61"/>
      <c r="T1478" s="61"/>
      <c r="U1478" s="61"/>
      <c r="V1478" s="61"/>
      <c r="W1478" s="61"/>
      <c r="X1478" s="61"/>
      <c r="Y1478" s="61"/>
      <c r="Z1478" s="61"/>
    </row>
    <row r="1479" spans="1:26" ht="13">
      <c r="A1479" s="61"/>
      <c r="B1479" s="61"/>
      <c r="C1479" s="61"/>
      <c r="D1479" s="61"/>
      <c r="E1479" s="61"/>
      <c r="F1479" s="61"/>
      <c r="G1479" s="179"/>
      <c r="H1479" s="61"/>
      <c r="I1479" s="61"/>
      <c r="J1479" s="61"/>
      <c r="K1479" s="61"/>
      <c r="L1479" s="61"/>
      <c r="M1479" s="61"/>
      <c r="N1479" s="61"/>
      <c r="O1479" s="61"/>
      <c r="P1479" s="61"/>
      <c r="Q1479" s="61"/>
      <c r="R1479" s="61"/>
      <c r="S1479" s="61"/>
      <c r="T1479" s="61"/>
      <c r="U1479" s="61"/>
      <c r="V1479" s="61"/>
      <c r="W1479" s="61"/>
      <c r="X1479" s="61"/>
      <c r="Y1479" s="61"/>
      <c r="Z1479" s="61"/>
    </row>
    <row r="1480" spans="1:26" ht="13">
      <c r="A1480" s="61"/>
      <c r="B1480" s="61"/>
      <c r="C1480" s="61"/>
      <c r="D1480" s="61"/>
      <c r="E1480" s="61"/>
      <c r="F1480" s="61"/>
      <c r="G1480" s="179"/>
      <c r="H1480" s="61"/>
      <c r="I1480" s="61"/>
      <c r="J1480" s="61"/>
      <c r="K1480" s="61"/>
      <c r="L1480" s="61"/>
      <c r="M1480" s="61"/>
      <c r="N1480" s="61"/>
      <c r="O1480" s="61"/>
      <c r="P1480" s="61"/>
      <c r="Q1480" s="61"/>
      <c r="R1480" s="61"/>
      <c r="S1480" s="61"/>
      <c r="T1480" s="61"/>
      <c r="U1480" s="61"/>
      <c r="V1480" s="61"/>
      <c r="W1480" s="61"/>
      <c r="X1480" s="61"/>
      <c r="Y1480" s="61"/>
      <c r="Z1480" s="61"/>
    </row>
    <row r="1481" spans="1:26" ht="13">
      <c r="A1481" s="61"/>
      <c r="B1481" s="61"/>
      <c r="C1481" s="61"/>
      <c r="D1481" s="61"/>
      <c r="E1481" s="61"/>
      <c r="F1481" s="61"/>
      <c r="G1481" s="179"/>
      <c r="H1481" s="61"/>
      <c r="I1481" s="61"/>
      <c r="J1481" s="61"/>
      <c r="K1481" s="61"/>
      <c r="L1481" s="61"/>
      <c r="M1481" s="61"/>
      <c r="N1481" s="61"/>
      <c r="O1481" s="61"/>
      <c r="P1481" s="61"/>
      <c r="Q1481" s="61"/>
      <c r="R1481" s="61"/>
      <c r="S1481" s="61"/>
      <c r="T1481" s="61"/>
      <c r="U1481" s="61"/>
      <c r="V1481" s="61"/>
      <c r="W1481" s="61"/>
      <c r="X1481" s="61"/>
      <c r="Y1481" s="61"/>
      <c r="Z1481" s="61"/>
    </row>
    <row r="1482" spans="1:26" ht="13">
      <c r="A1482" s="61"/>
      <c r="B1482" s="61"/>
      <c r="C1482" s="61"/>
      <c r="D1482" s="61"/>
      <c r="E1482" s="61"/>
      <c r="F1482" s="61"/>
      <c r="G1482" s="179"/>
      <c r="H1482" s="61"/>
      <c r="I1482" s="61"/>
      <c r="J1482" s="61"/>
      <c r="K1482" s="61"/>
      <c r="L1482" s="61"/>
      <c r="M1482" s="61"/>
      <c r="N1482" s="61"/>
      <c r="O1482" s="61"/>
      <c r="P1482" s="61"/>
      <c r="Q1482" s="61"/>
      <c r="R1482" s="61"/>
      <c r="S1482" s="61"/>
      <c r="T1482" s="61"/>
      <c r="U1482" s="61"/>
      <c r="V1482" s="61"/>
      <c r="W1482" s="61"/>
      <c r="X1482" s="61"/>
      <c r="Y1482" s="61"/>
      <c r="Z1482" s="61"/>
    </row>
    <row r="1483" spans="1:26" ht="13">
      <c r="A1483" s="61"/>
      <c r="B1483" s="61"/>
      <c r="C1483" s="61"/>
      <c r="D1483" s="61"/>
      <c r="E1483" s="61"/>
      <c r="F1483" s="61"/>
      <c r="G1483" s="179"/>
      <c r="H1483" s="61"/>
      <c r="I1483" s="61"/>
      <c r="J1483" s="61"/>
      <c r="K1483" s="61"/>
      <c r="L1483" s="61"/>
      <c r="M1483" s="61"/>
      <c r="N1483" s="61"/>
      <c r="O1483" s="61"/>
      <c r="P1483" s="61"/>
      <c r="Q1483" s="61"/>
      <c r="R1483" s="61"/>
      <c r="S1483" s="61"/>
      <c r="T1483" s="61"/>
      <c r="U1483" s="61"/>
      <c r="V1483" s="61"/>
      <c r="W1483" s="61"/>
      <c r="X1483" s="61"/>
      <c r="Y1483" s="61"/>
      <c r="Z1483" s="61"/>
    </row>
    <row r="1484" spans="1:26" ht="13">
      <c r="A1484" s="61"/>
      <c r="B1484" s="61"/>
      <c r="C1484" s="61"/>
      <c r="D1484" s="61"/>
      <c r="E1484" s="61"/>
      <c r="F1484" s="61"/>
      <c r="G1484" s="179"/>
      <c r="H1484" s="61"/>
      <c r="I1484" s="61"/>
      <c r="J1484" s="61"/>
      <c r="K1484" s="61"/>
      <c r="L1484" s="61"/>
      <c r="M1484" s="61"/>
      <c r="N1484" s="61"/>
      <c r="O1484" s="61"/>
      <c r="P1484" s="61"/>
      <c r="Q1484" s="61"/>
      <c r="R1484" s="61"/>
      <c r="S1484" s="61"/>
      <c r="T1484" s="61"/>
      <c r="U1484" s="61"/>
      <c r="V1484" s="61"/>
      <c r="W1484" s="61"/>
      <c r="X1484" s="61"/>
      <c r="Y1484" s="61"/>
      <c r="Z1484" s="61"/>
    </row>
    <row r="1485" spans="1:26" ht="13">
      <c r="A1485" s="61"/>
      <c r="B1485" s="61"/>
      <c r="C1485" s="61"/>
      <c r="D1485" s="61"/>
      <c r="E1485" s="61"/>
      <c r="F1485" s="61"/>
      <c r="G1485" s="179"/>
      <c r="H1485" s="61"/>
      <c r="I1485" s="61"/>
      <c r="J1485" s="61"/>
      <c r="K1485" s="61"/>
      <c r="L1485" s="61"/>
      <c r="M1485" s="61"/>
      <c r="N1485" s="61"/>
      <c r="O1485" s="61"/>
      <c r="P1485" s="61"/>
      <c r="Q1485" s="61"/>
      <c r="R1485" s="61"/>
      <c r="S1485" s="61"/>
      <c r="T1485" s="61"/>
      <c r="U1485" s="61"/>
      <c r="V1485" s="61"/>
      <c r="W1485" s="61"/>
      <c r="X1485" s="61"/>
      <c r="Y1485" s="61"/>
      <c r="Z1485" s="61"/>
    </row>
    <row r="1486" spans="1:26" ht="13">
      <c r="A1486" s="61"/>
      <c r="B1486" s="61"/>
      <c r="C1486" s="61"/>
      <c r="D1486" s="61"/>
      <c r="E1486" s="61"/>
      <c r="F1486" s="61"/>
      <c r="G1486" s="179"/>
      <c r="H1486" s="61"/>
      <c r="I1486" s="61"/>
      <c r="J1486" s="61"/>
      <c r="K1486" s="61"/>
      <c r="L1486" s="61"/>
      <c r="M1486" s="61"/>
      <c r="N1486" s="61"/>
      <c r="O1486" s="61"/>
      <c r="P1486" s="61"/>
      <c r="Q1486" s="61"/>
      <c r="R1486" s="61"/>
      <c r="S1486" s="61"/>
      <c r="T1486" s="61"/>
      <c r="U1486" s="61"/>
      <c r="V1486" s="61"/>
      <c r="W1486" s="61"/>
      <c r="X1486" s="61"/>
      <c r="Y1486" s="61"/>
      <c r="Z1486" s="61"/>
    </row>
    <row r="1487" spans="1:26" ht="13">
      <c r="A1487" s="61"/>
      <c r="B1487" s="61"/>
      <c r="C1487" s="61"/>
      <c r="D1487" s="61"/>
      <c r="E1487" s="61"/>
      <c r="F1487" s="61"/>
      <c r="G1487" s="179"/>
      <c r="H1487" s="61"/>
      <c r="I1487" s="61"/>
      <c r="J1487" s="61"/>
      <c r="K1487" s="61"/>
      <c r="L1487" s="61"/>
      <c r="M1487" s="61"/>
      <c r="N1487" s="61"/>
      <c r="O1487" s="61"/>
      <c r="P1487" s="61"/>
      <c r="Q1487" s="61"/>
      <c r="R1487" s="61"/>
      <c r="S1487" s="61"/>
      <c r="T1487" s="61"/>
      <c r="U1487" s="61"/>
      <c r="V1487" s="61"/>
      <c r="W1487" s="61"/>
      <c r="X1487" s="61"/>
      <c r="Y1487" s="61"/>
      <c r="Z1487" s="61"/>
    </row>
    <row r="1488" spans="1:26" ht="13">
      <c r="A1488" s="61"/>
      <c r="B1488" s="61"/>
      <c r="C1488" s="61"/>
      <c r="D1488" s="61"/>
      <c r="E1488" s="61"/>
      <c r="F1488" s="61"/>
      <c r="G1488" s="179"/>
      <c r="H1488" s="61"/>
      <c r="I1488" s="61"/>
      <c r="J1488" s="61"/>
      <c r="K1488" s="61"/>
      <c r="L1488" s="61"/>
      <c r="M1488" s="61"/>
      <c r="N1488" s="61"/>
      <c r="O1488" s="61"/>
      <c r="P1488" s="61"/>
      <c r="Q1488" s="61"/>
      <c r="R1488" s="61"/>
      <c r="S1488" s="61"/>
      <c r="T1488" s="61"/>
      <c r="U1488" s="61"/>
      <c r="V1488" s="61"/>
      <c r="W1488" s="61"/>
      <c r="X1488" s="61"/>
      <c r="Y1488" s="61"/>
      <c r="Z1488" s="61"/>
    </row>
    <row r="1489" spans="1:26" ht="13">
      <c r="A1489" s="61"/>
      <c r="B1489" s="61"/>
      <c r="C1489" s="61"/>
      <c r="D1489" s="61"/>
      <c r="E1489" s="61"/>
      <c r="F1489" s="61"/>
      <c r="G1489" s="179"/>
      <c r="H1489" s="61"/>
      <c r="I1489" s="61"/>
      <c r="J1489" s="61"/>
      <c r="K1489" s="61"/>
      <c r="L1489" s="61"/>
      <c r="M1489" s="61"/>
      <c r="N1489" s="61"/>
      <c r="O1489" s="61"/>
      <c r="P1489" s="61"/>
      <c r="Q1489" s="61"/>
      <c r="R1489" s="61"/>
      <c r="S1489" s="61"/>
      <c r="T1489" s="61"/>
      <c r="U1489" s="61"/>
      <c r="V1489" s="61"/>
      <c r="W1489" s="61"/>
      <c r="X1489" s="61"/>
      <c r="Y1489" s="61"/>
      <c r="Z1489" s="61"/>
    </row>
    <row r="1490" spans="1:26" ht="13">
      <c r="A1490" s="61"/>
      <c r="B1490" s="61"/>
      <c r="C1490" s="61"/>
      <c r="D1490" s="61"/>
      <c r="E1490" s="61"/>
      <c r="F1490" s="61"/>
      <c r="G1490" s="179"/>
      <c r="H1490" s="61"/>
      <c r="I1490" s="61"/>
      <c r="J1490" s="61"/>
      <c r="K1490" s="61"/>
      <c r="L1490" s="61"/>
      <c r="M1490" s="61"/>
      <c r="N1490" s="61"/>
      <c r="O1490" s="61"/>
      <c r="P1490" s="61"/>
      <c r="Q1490" s="61"/>
      <c r="R1490" s="61"/>
      <c r="S1490" s="61"/>
      <c r="T1490" s="61"/>
      <c r="U1490" s="61"/>
      <c r="V1490" s="61"/>
      <c r="W1490" s="61"/>
      <c r="X1490" s="61"/>
      <c r="Y1490" s="61"/>
      <c r="Z1490" s="61"/>
    </row>
    <row r="1491" spans="1:26" ht="13">
      <c r="A1491" s="61"/>
      <c r="B1491" s="61"/>
      <c r="C1491" s="61"/>
      <c r="D1491" s="61"/>
      <c r="E1491" s="61"/>
      <c r="F1491" s="61"/>
      <c r="G1491" s="179"/>
      <c r="H1491" s="61"/>
      <c r="I1491" s="61"/>
      <c r="J1491" s="61"/>
      <c r="K1491" s="61"/>
      <c r="L1491" s="61"/>
      <c r="M1491" s="61"/>
      <c r="N1491" s="61"/>
      <c r="O1491" s="61"/>
      <c r="P1491" s="61"/>
      <c r="Q1491" s="61"/>
      <c r="R1491" s="61"/>
      <c r="S1491" s="61"/>
      <c r="T1491" s="61"/>
      <c r="U1491" s="61"/>
      <c r="V1491" s="61"/>
      <c r="W1491" s="61"/>
      <c r="X1491" s="61"/>
      <c r="Y1491" s="61"/>
      <c r="Z1491" s="61"/>
    </row>
    <row r="1492" spans="1:26" ht="13">
      <c r="A1492" s="61"/>
      <c r="B1492" s="61"/>
      <c r="C1492" s="61"/>
      <c r="D1492" s="61"/>
      <c r="E1492" s="61"/>
      <c r="F1492" s="61"/>
      <c r="G1492" s="179"/>
      <c r="H1492" s="61"/>
      <c r="I1492" s="61"/>
      <c r="J1492" s="61"/>
      <c r="K1492" s="61"/>
      <c r="L1492" s="61"/>
      <c r="M1492" s="61"/>
      <c r="N1492" s="61"/>
      <c r="O1492" s="61"/>
      <c r="P1492" s="61"/>
      <c r="Q1492" s="61"/>
      <c r="R1492" s="61"/>
      <c r="S1492" s="61"/>
      <c r="T1492" s="61"/>
      <c r="U1492" s="61"/>
      <c r="V1492" s="61"/>
      <c r="W1492" s="61"/>
      <c r="X1492" s="61"/>
      <c r="Y1492" s="61"/>
      <c r="Z1492" s="61"/>
    </row>
    <row r="1493" spans="1:26" ht="13">
      <c r="A1493" s="61"/>
      <c r="B1493" s="61"/>
      <c r="C1493" s="61"/>
      <c r="D1493" s="61"/>
      <c r="E1493" s="61"/>
      <c r="F1493" s="61"/>
      <c r="G1493" s="179"/>
      <c r="H1493" s="61"/>
      <c r="I1493" s="61"/>
      <c r="J1493" s="61"/>
      <c r="K1493" s="61"/>
      <c r="L1493" s="61"/>
      <c r="M1493" s="61"/>
      <c r="N1493" s="61"/>
      <c r="O1493" s="61"/>
      <c r="P1493" s="61"/>
      <c r="Q1493" s="61"/>
      <c r="R1493" s="61"/>
      <c r="S1493" s="61"/>
      <c r="T1493" s="61"/>
      <c r="U1493" s="61"/>
      <c r="V1493" s="61"/>
      <c r="W1493" s="61"/>
      <c r="X1493" s="61"/>
      <c r="Y1493" s="61"/>
      <c r="Z1493" s="61"/>
    </row>
    <row r="1494" spans="1:26" ht="13">
      <c r="A1494" s="61"/>
      <c r="B1494" s="61"/>
      <c r="C1494" s="61"/>
      <c r="D1494" s="61"/>
      <c r="E1494" s="61"/>
      <c r="F1494" s="61"/>
      <c r="G1494" s="179"/>
      <c r="H1494" s="61"/>
      <c r="I1494" s="61"/>
      <c r="J1494" s="61"/>
      <c r="K1494" s="61"/>
      <c r="L1494" s="61"/>
      <c r="M1494" s="61"/>
      <c r="N1494" s="61"/>
      <c r="O1494" s="61"/>
      <c r="P1494" s="61"/>
      <c r="Q1494" s="61"/>
      <c r="R1494" s="61"/>
      <c r="S1494" s="61"/>
      <c r="T1494" s="61"/>
      <c r="U1494" s="61"/>
      <c r="V1494" s="61"/>
      <c r="W1494" s="61"/>
      <c r="X1494" s="61"/>
      <c r="Y1494" s="61"/>
      <c r="Z1494" s="61"/>
    </row>
    <row r="1495" spans="1:26" ht="13">
      <c r="A1495" s="61"/>
      <c r="B1495" s="61"/>
      <c r="C1495" s="61"/>
      <c r="D1495" s="61"/>
      <c r="E1495" s="61"/>
      <c r="F1495" s="61"/>
      <c r="G1495" s="179"/>
      <c r="H1495" s="61"/>
      <c r="I1495" s="61"/>
      <c r="J1495" s="61"/>
      <c r="K1495" s="61"/>
      <c r="L1495" s="61"/>
      <c r="M1495" s="61"/>
      <c r="N1495" s="61"/>
      <c r="O1495" s="61"/>
      <c r="P1495" s="61"/>
      <c r="Q1495" s="61"/>
      <c r="R1495" s="61"/>
      <c r="S1495" s="61"/>
      <c r="T1495" s="61"/>
      <c r="U1495" s="61"/>
      <c r="V1495" s="61"/>
      <c r="W1495" s="61"/>
      <c r="X1495" s="61"/>
      <c r="Y1495" s="61"/>
      <c r="Z1495" s="61"/>
    </row>
    <row r="1496" spans="1:26" ht="13">
      <c r="A1496" s="61"/>
      <c r="B1496" s="61"/>
      <c r="C1496" s="61"/>
      <c r="D1496" s="61"/>
      <c r="E1496" s="61"/>
      <c r="F1496" s="61"/>
      <c r="G1496" s="179"/>
      <c r="H1496" s="61"/>
      <c r="I1496" s="61"/>
      <c r="J1496" s="61"/>
      <c r="K1496" s="61"/>
      <c r="L1496" s="61"/>
      <c r="M1496" s="61"/>
      <c r="N1496" s="61"/>
      <c r="O1496" s="61"/>
      <c r="P1496" s="61"/>
      <c r="Q1496" s="61"/>
      <c r="R1496" s="61"/>
      <c r="S1496" s="61"/>
      <c r="T1496" s="61"/>
      <c r="U1496" s="61"/>
      <c r="V1496" s="61"/>
      <c r="W1496" s="61"/>
      <c r="X1496" s="61"/>
      <c r="Y1496" s="61"/>
      <c r="Z1496" s="61"/>
    </row>
    <row r="1497" spans="1:26" ht="13">
      <c r="A1497" s="61"/>
      <c r="B1497" s="61"/>
      <c r="C1497" s="61"/>
      <c r="D1497" s="61"/>
      <c r="E1497" s="61"/>
      <c r="F1497" s="61"/>
      <c r="G1497" s="179"/>
      <c r="H1497" s="61"/>
      <c r="I1497" s="61"/>
      <c r="J1497" s="61"/>
      <c r="K1497" s="61"/>
      <c r="L1497" s="61"/>
      <c r="M1497" s="61"/>
      <c r="N1497" s="61"/>
      <c r="O1497" s="61"/>
      <c r="P1497" s="61"/>
      <c r="Q1497" s="61"/>
      <c r="R1497" s="61"/>
      <c r="S1497" s="61"/>
      <c r="T1497" s="61"/>
      <c r="U1497" s="61"/>
      <c r="V1497" s="61"/>
      <c r="W1497" s="61"/>
      <c r="X1497" s="61"/>
      <c r="Y1497" s="61"/>
      <c r="Z1497" s="61"/>
    </row>
    <row r="1498" spans="1:26" ht="13">
      <c r="A1498" s="61"/>
      <c r="B1498" s="61"/>
      <c r="C1498" s="61"/>
      <c r="D1498" s="61"/>
      <c r="E1498" s="61"/>
      <c r="F1498" s="61"/>
      <c r="G1498" s="179"/>
      <c r="H1498" s="61"/>
      <c r="I1498" s="61"/>
      <c r="J1498" s="61"/>
      <c r="K1498" s="61"/>
      <c r="L1498" s="61"/>
      <c r="M1498" s="61"/>
      <c r="N1498" s="61"/>
      <c r="O1498" s="61"/>
      <c r="P1498" s="61"/>
      <c r="Q1498" s="61"/>
      <c r="R1498" s="61"/>
      <c r="S1498" s="61"/>
      <c r="T1498" s="61"/>
      <c r="U1498" s="61"/>
      <c r="V1498" s="61"/>
      <c r="W1498" s="61"/>
      <c r="X1498" s="61"/>
      <c r="Y1498" s="61"/>
      <c r="Z1498" s="61"/>
    </row>
    <row r="1499" spans="1:26" ht="13">
      <c r="A1499" s="61"/>
      <c r="B1499" s="61"/>
      <c r="C1499" s="61"/>
      <c r="D1499" s="61"/>
      <c r="E1499" s="61"/>
      <c r="F1499" s="61"/>
      <c r="G1499" s="179"/>
      <c r="H1499" s="61"/>
      <c r="I1499" s="61"/>
      <c r="J1499" s="61"/>
      <c r="K1499" s="61"/>
      <c r="L1499" s="61"/>
      <c r="M1499" s="61"/>
      <c r="N1499" s="61"/>
      <c r="O1499" s="61"/>
      <c r="P1499" s="61"/>
      <c r="Q1499" s="61"/>
      <c r="R1499" s="61"/>
      <c r="S1499" s="61"/>
      <c r="T1499" s="61"/>
      <c r="U1499" s="61"/>
      <c r="V1499" s="61"/>
      <c r="W1499" s="61"/>
      <c r="X1499" s="61"/>
      <c r="Y1499" s="61"/>
      <c r="Z1499" s="61"/>
    </row>
    <row r="1500" spans="1:26" ht="13">
      <c r="A1500" s="61"/>
      <c r="B1500" s="61"/>
      <c r="C1500" s="61"/>
      <c r="D1500" s="61"/>
      <c r="E1500" s="61"/>
      <c r="F1500" s="61"/>
      <c r="G1500" s="179"/>
      <c r="H1500" s="61"/>
      <c r="I1500" s="61"/>
      <c r="J1500" s="61"/>
      <c r="K1500" s="61"/>
      <c r="L1500" s="61"/>
      <c r="M1500" s="61"/>
      <c r="N1500" s="61"/>
      <c r="O1500" s="61"/>
      <c r="P1500" s="61"/>
      <c r="Q1500" s="61"/>
      <c r="R1500" s="61"/>
      <c r="S1500" s="61"/>
      <c r="T1500" s="61"/>
      <c r="U1500" s="61"/>
      <c r="V1500" s="61"/>
      <c r="W1500" s="61"/>
      <c r="X1500" s="61"/>
      <c r="Y1500" s="61"/>
      <c r="Z1500" s="61"/>
    </row>
    <row r="1501" spans="1:26" ht="13">
      <c r="A1501" s="61"/>
      <c r="B1501" s="61"/>
      <c r="C1501" s="61"/>
      <c r="D1501" s="61"/>
      <c r="E1501" s="61"/>
      <c r="F1501" s="61"/>
      <c r="G1501" s="179"/>
      <c r="H1501" s="61"/>
      <c r="I1501" s="61"/>
      <c r="J1501" s="61"/>
      <c r="K1501" s="61"/>
      <c r="L1501" s="61"/>
      <c r="M1501" s="61"/>
      <c r="N1501" s="61"/>
      <c r="O1501" s="61"/>
      <c r="P1501" s="61"/>
      <c r="Q1501" s="61"/>
      <c r="R1501" s="61"/>
      <c r="S1501" s="61"/>
      <c r="T1501" s="61"/>
      <c r="U1501" s="61"/>
      <c r="V1501" s="61"/>
      <c r="W1501" s="61"/>
      <c r="X1501" s="61"/>
      <c r="Y1501" s="61"/>
      <c r="Z1501" s="61"/>
    </row>
    <row r="1502" spans="1:26" ht="13">
      <c r="A1502" s="61"/>
      <c r="B1502" s="61"/>
      <c r="C1502" s="61"/>
      <c r="D1502" s="61"/>
      <c r="E1502" s="61"/>
      <c r="F1502" s="61"/>
      <c r="G1502" s="179"/>
      <c r="H1502" s="61"/>
      <c r="I1502" s="61"/>
      <c r="J1502" s="61"/>
      <c r="K1502" s="61"/>
      <c r="L1502" s="61"/>
      <c r="M1502" s="61"/>
      <c r="N1502" s="61"/>
      <c r="O1502" s="61"/>
      <c r="P1502" s="61"/>
      <c r="Q1502" s="61"/>
      <c r="R1502" s="61"/>
      <c r="S1502" s="61"/>
      <c r="T1502" s="61"/>
      <c r="U1502" s="61"/>
      <c r="V1502" s="61"/>
      <c r="W1502" s="61"/>
      <c r="X1502" s="61"/>
      <c r="Y1502" s="61"/>
      <c r="Z1502" s="61"/>
    </row>
    <row r="1503" spans="1:26" ht="13">
      <c r="A1503" s="61"/>
      <c r="B1503" s="61"/>
      <c r="C1503" s="61"/>
      <c r="D1503" s="61"/>
      <c r="E1503" s="61"/>
      <c r="F1503" s="61"/>
      <c r="G1503" s="179"/>
      <c r="H1503" s="61"/>
      <c r="I1503" s="61"/>
      <c r="J1503" s="61"/>
      <c r="K1503" s="61"/>
      <c r="L1503" s="61"/>
      <c r="M1503" s="61"/>
      <c r="N1503" s="61"/>
      <c r="O1503" s="61"/>
      <c r="P1503" s="61"/>
      <c r="Q1503" s="61"/>
      <c r="R1503" s="61"/>
      <c r="S1503" s="61"/>
      <c r="T1503" s="61"/>
      <c r="U1503" s="61"/>
      <c r="V1503" s="61"/>
      <c r="W1503" s="61"/>
      <c r="X1503" s="61"/>
      <c r="Y1503" s="61"/>
      <c r="Z1503" s="61"/>
    </row>
    <row r="1504" spans="1:26" ht="13">
      <c r="A1504" s="61"/>
      <c r="B1504" s="61"/>
      <c r="C1504" s="61"/>
      <c r="D1504" s="61"/>
      <c r="E1504" s="61"/>
      <c r="F1504" s="61"/>
      <c r="G1504" s="179"/>
      <c r="H1504" s="61"/>
      <c r="I1504" s="61"/>
      <c r="J1504" s="61"/>
      <c r="K1504" s="61"/>
      <c r="L1504" s="61"/>
      <c r="M1504" s="61"/>
      <c r="N1504" s="61"/>
      <c r="O1504" s="61"/>
      <c r="P1504" s="61"/>
      <c r="Q1504" s="61"/>
      <c r="R1504" s="61"/>
      <c r="S1504" s="61"/>
      <c r="T1504" s="61"/>
      <c r="U1504" s="61"/>
      <c r="V1504" s="61"/>
      <c r="W1504" s="61"/>
      <c r="X1504" s="61"/>
      <c r="Y1504" s="61"/>
      <c r="Z1504" s="61"/>
    </row>
    <row r="1505" spans="1:26" ht="13">
      <c r="A1505" s="61"/>
      <c r="B1505" s="61"/>
      <c r="C1505" s="61"/>
      <c r="D1505" s="61"/>
      <c r="E1505" s="61"/>
      <c r="F1505" s="61"/>
      <c r="G1505" s="179"/>
      <c r="H1505" s="61"/>
      <c r="I1505" s="61"/>
      <c r="J1505" s="61"/>
      <c r="K1505" s="61"/>
      <c r="L1505" s="61"/>
      <c r="M1505" s="61"/>
      <c r="N1505" s="61"/>
      <c r="O1505" s="61"/>
      <c r="P1505" s="61"/>
      <c r="Q1505" s="61"/>
      <c r="R1505" s="61"/>
      <c r="S1505" s="61"/>
      <c r="T1505" s="61"/>
      <c r="U1505" s="61"/>
      <c r="V1505" s="61"/>
      <c r="W1505" s="61"/>
      <c r="X1505" s="61"/>
      <c r="Y1505" s="61"/>
      <c r="Z1505" s="61"/>
    </row>
    <row r="1506" spans="1:26" ht="13">
      <c r="A1506" s="61"/>
      <c r="B1506" s="61"/>
      <c r="C1506" s="61"/>
      <c r="D1506" s="61"/>
      <c r="E1506" s="61"/>
      <c r="F1506" s="61"/>
      <c r="G1506" s="179"/>
      <c r="H1506" s="61"/>
      <c r="I1506" s="61"/>
      <c r="J1506" s="61"/>
      <c r="K1506" s="61"/>
      <c r="L1506" s="61"/>
      <c r="M1506" s="61"/>
      <c r="N1506" s="61"/>
      <c r="O1506" s="61"/>
      <c r="P1506" s="61"/>
      <c r="Q1506" s="61"/>
      <c r="R1506" s="61"/>
      <c r="S1506" s="61"/>
      <c r="T1506" s="61"/>
      <c r="U1506" s="61"/>
      <c r="V1506" s="61"/>
      <c r="W1506" s="61"/>
      <c r="X1506" s="61"/>
      <c r="Y1506" s="61"/>
      <c r="Z1506" s="61"/>
    </row>
    <row r="1507" spans="1:26" ht="13">
      <c r="A1507" s="61"/>
      <c r="B1507" s="61"/>
      <c r="C1507" s="61"/>
      <c r="D1507" s="61"/>
      <c r="E1507" s="61"/>
      <c r="F1507" s="61"/>
      <c r="G1507" s="179"/>
      <c r="H1507" s="61"/>
      <c r="I1507" s="61"/>
      <c r="J1507" s="61"/>
      <c r="K1507" s="61"/>
      <c r="L1507" s="61"/>
      <c r="M1507" s="61"/>
      <c r="N1507" s="61"/>
      <c r="O1507" s="61"/>
      <c r="P1507" s="61"/>
      <c r="Q1507" s="61"/>
      <c r="R1507" s="61"/>
      <c r="S1507" s="61"/>
      <c r="T1507" s="61"/>
      <c r="U1507" s="61"/>
      <c r="V1507" s="61"/>
      <c r="W1507" s="61"/>
      <c r="X1507" s="61"/>
      <c r="Y1507" s="61"/>
      <c r="Z1507" s="61"/>
    </row>
    <row r="1508" spans="1:26" ht="13">
      <c r="A1508" s="61"/>
      <c r="B1508" s="61"/>
      <c r="C1508" s="61"/>
      <c r="D1508" s="61"/>
      <c r="E1508" s="61"/>
      <c r="F1508" s="61"/>
      <c r="G1508" s="179"/>
      <c r="H1508" s="61"/>
      <c r="I1508" s="61"/>
      <c r="J1508" s="61"/>
      <c r="K1508" s="61"/>
      <c r="L1508" s="61"/>
      <c r="M1508" s="61"/>
      <c r="N1508" s="61"/>
      <c r="O1508" s="61"/>
      <c r="P1508" s="61"/>
      <c r="Q1508" s="61"/>
      <c r="R1508" s="61"/>
      <c r="S1508" s="61"/>
      <c r="T1508" s="61"/>
      <c r="U1508" s="61"/>
      <c r="V1508" s="61"/>
      <c r="W1508" s="61"/>
      <c r="X1508" s="61"/>
      <c r="Y1508" s="61"/>
      <c r="Z1508" s="61"/>
    </row>
    <row r="1509" spans="1:26" ht="13">
      <c r="A1509" s="61"/>
      <c r="B1509" s="61"/>
      <c r="C1509" s="61"/>
      <c r="D1509" s="61"/>
      <c r="E1509" s="61"/>
      <c r="F1509" s="61"/>
      <c r="G1509" s="179"/>
      <c r="H1509" s="61"/>
      <c r="I1509" s="61"/>
      <c r="J1509" s="61"/>
      <c r="K1509" s="61"/>
      <c r="L1509" s="61"/>
      <c r="M1509" s="61"/>
      <c r="N1509" s="61"/>
      <c r="O1509" s="61"/>
      <c r="P1509" s="61"/>
      <c r="Q1509" s="61"/>
      <c r="R1509" s="61"/>
      <c r="S1509" s="61"/>
      <c r="T1509" s="61"/>
      <c r="U1509" s="61"/>
      <c r="V1509" s="61"/>
      <c r="W1509" s="61"/>
      <c r="X1509" s="61"/>
      <c r="Y1509" s="61"/>
      <c r="Z1509" s="61"/>
    </row>
    <row r="1510" spans="1:26" ht="13">
      <c r="A1510" s="61"/>
      <c r="B1510" s="61"/>
      <c r="C1510" s="61"/>
      <c r="D1510" s="61"/>
      <c r="E1510" s="61"/>
      <c r="F1510" s="61"/>
      <c r="G1510" s="179"/>
      <c r="H1510" s="61"/>
      <c r="I1510" s="61"/>
      <c r="J1510" s="61"/>
      <c r="K1510" s="61"/>
      <c r="L1510" s="61"/>
      <c r="M1510" s="61"/>
      <c r="N1510" s="61"/>
      <c r="O1510" s="61"/>
      <c r="P1510" s="61"/>
      <c r="Q1510" s="61"/>
      <c r="R1510" s="61"/>
      <c r="S1510" s="61"/>
      <c r="T1510" s="61"/>
      <c r="U1510" s="61"/>
      <c r="V1510" s="61"/>
      <c r="W1510" s="61"/>
      <c r="X1510" s="61"/>
      <c r="Y1510" s="61"/>
      <c r="Z1510" s="61"/>
    </row>
    <row r="1511" spans="1:26" ht="13">
      <c r="A1511" s="61"/>
      <c r="B1511" s="61"/>
      <c r="C1511" s="61"/>
      <c r="D1511" s="61"/>
      <c r="E1511" s="61"/>
      <c r="F1511" s="61"/>
      <c r="G1511" s="179"/>
      <c r="H1511" s="61"/>
      <c r="I1511" s="61"/>
      <c r="J1511" s="61"/>
      <c r="K1511" s="61"/>
      <c r="L1511" s="61"/>
      <c r="M1511" s="61"/>
      <c r="N1511" s="61"/>
      <c r="O1511" s="61"/>
      <c r="P1511" s="61"/>
      <c r="Q1511" s="61"/>
      <c r="R1511" s="61"/>
      <c r="S1511" s="61"/>
      <c r="T1511" s="61"/>
      <c r="U1511" s="61"/>
      <c r="V1511" s="61"/>
      <c r="W1511" s="61"/>
      <c r="X1511" s="61"/>
      <c r="Y1511" s="61"/>
      <c r="Z1511" s="61"/>
    </row>
    <row r="1512" spans="1:26" ht="13">
      <c r="A1512" s="61"/>
      <c r="B1512" s="61"/>
      <c r="C1512" s="61"/>
      <c r="D1512" s="61"/>
      <c r="E1512" s="61"/>
      <c r="F1512" s="61"/>
      <c r="G1512" s="179"/>
      <c r="H1512" s="61"/>
      <c r="I1512" s="61"/>
      <c r="J1512" s="61"/>
      <c r="K1512" s="61"/>
      <c r="L1512" s="61"/>
      <c r="M1512" s="61"/>
      <c r="N1512" s="61"/>
      <c r="O1512" s="61"/>
      <c r="P1512" s="61"/>
      <c r="Q1512" s="61"/>
      <c r="R1512" s="61"/>
      <c r="S1512" s="61"/>
      <c r="T1512" s="61"/>
      <c r="U1512" s="61"/>
      <c r="V1512" s="61"/>
      <c r="W1512" s="61"/>
      <c r="X1512" s="61"/>
      <c r="Y1512" s="61"/>
      <c r="Z1512" s="61"/>
    </row>
    <row r="1513" spans="1:26" ht="13">
      <c r="A1513" s="61"/>
      <c r="B1513" s="61"/>
      <c r="C1513" s="61"/>
      <c r="D1513" s="61"/>
      <c r="E1513" s="61"/>
      <c r="F1513" s="61"/>
      <c r="G1513" s="179"/>
      <c r="H1513" s="61"/>
      <c r="I1513" s="61"/>
      <c r="J1513" s="61"/>
      <c r="K1513" s="61"/>
      <c r="L1513" s="61"/>
      <c r="M1513" s="61"/>
      <c r="N1513" s="61"/>
      <c r="O1513" s="61"/>
      <c r="P1513" s="61"/>
      <c r="Q1513" s="61"/>
      <c r="R1513" s="61"/>
      <c r="S1513" s="61"/>
      <c r="T1513" s="61"/>
      <c r="U1513" s="61"/>
      <c r="V1513" s="61"/>
      <c r="W1513" s="61"/>
      <c r="X1513" s="61"/>
      <c r="Y1513" s="61"/>
      <c r="Z1513" s="61"/>
    </row>
    <row r="1514" spans="1:26" ht="13">
      <c r="A1514" s="61"/>
      <c r="B1514" s="61"/>
      <c r="C1514" s="61"/>
      <c r="D1514" s="61"/>
      <c r="E1514" s="61"/>
      <c r="F1514" s="61"/>
      <c r="G1514" s="179"/>
      <c r="H1514" s="61"/>
      <c r="I1514" s="61"/>
      <c r="J1514" s="61"/>
      <c r="K1514" s="61"/>
      <c r="L1514" s="61"/>
      <c r="M1514" s="61"/>
      <c r="N1514" s="61"/>
      <c r="O1514" s="61"/>
      <c r="P1514" s="61"/>
      <c r="Q1514" s="61"/>
      <c r="R1514" s="61"/>
      <c r="S1514" s="61"/>
      <c r="T1514" s="61"/>
      <c r="U1514" s="61"/>
      <c r="V1514" s="61"/>
      <c r="W1514" s="61"/>
      <c r="X1514" s="61"/>
      <c r="Y1514" s="61"/>
      <c r="Z1514" s="61"/>
    </row>
    <row r="1515" spans="1:26" ht="13">
      <c r="A1515" s="61"/>
      <c r="B1515" s="61"/>
      <c r="C1515" s="61"/>
      <c r="D1515" s="61"/>
      <c r="E1515" s="61"/>
      <c r="F1515" s="61"/>
      <c r="G1515" s="179"/>
      <c r="H1515" s="61"/>
      <c r="I1515" s="61"/>
      <c r="J1515" s="61"/>
      <c r="K1515" s="61"/>
      <c r="L1515" s="61"/>
      <c r="M1515" s="61"/>
      <c r="N1515" s="61"/>
      <c r="O1515" s="61"/>
      <c r="P1515" s="61"/>
      <c r="Q1515" s="61"/>
      <c r="R1515" s="61"/>
      <c r="S1515" s="61"/>
      <c r="T1515" s="61"/>
      <c r="U1515" s="61"/>
      <c r="V1515" s="61"/>
      <c r="W1515" s="61"/>
      <c r="X1515" s="61"/>
      <c r="Y1515" s="61"/>
      <c r="Z1515" s="61"/>
    </row>
    <row r="1516" spans="1:26" ht="13">
      <c r="A1516" s="61"/>
      <c r="B1516" s="61"/>
      <c r="C1516" s="61"/>
      <c r="D1516" s="61"/>
      <c r="E1516" s="61"/>
      <c r="F1516" s="61"/>
      <c r="G1516" s="179"/>
      <c r="H1516" s="61"/>
      <c r="I1516" s="61"/>
      <c r="J1516" s="61"/>
      <c r="K1516" s="61"/>
      <c r="L1516" s="61"/>
      <c r="M1516" s="61"/>
      <c r="N1516" s="61"/>
      <c r="O1516" s="61"/>
      <c r="P1516" s="61"/>
      <c r="Q1516" s="61"/>
      <c r="R1516" s="61"/>
      <c r="S1516" s="61"/>
      <c r="T1516" s="61"/>
      <c r="U1516" s="61"/>
      <c r="V1516" s="61"/>
      <c r="W1516" s="61"/>
      <c r="X1516" s="61"/>
      <c r="Y1516" s="61"/>
      <c r="Z1516" s="61"/>
    </row>
    <row r="1517" spans="1:26" ht="13">
      <c r="A1517" s="61"/>
      <c r="B1517" s="61"/>
      <c r="C1517" s="61"/>
      <c r="D1517" s="61"/>
      <c r="E1517" s="61"/>
      <c r="F1517" s="61"/>
      <c r="G1517" s="179"/>
      <c r="H1517" s="61"/>
      <c r="I1517" s="61"/>
      <c r="J1517" s="61"/>
      <c r="K1517" s="61"/>
      <c r="L1517" s="61"/>
      <c r="M1517" s="61"/>
      <c r="N1517" s="61"/>
      <c r="O1517" s="61"/>
      <c r="P1517" s="61"/>
      <c r="Q1517" s="61"/>
      <c r="R1517" s="61"/>
      <c r="S1517" s="61"/>
      <c r="T1517" s="61"/>
      <c r="U1517" s="61"/>
      <c r="V1517" s="61"/>
      <c r="W1517" s="61"/>
      <c r="X1517" s="61"/>
      <c r="Y1517" s="61"/>
      <c r="Z1517" s="61"/>
    </row>
    <row r="1518" spans="1:26" ht="13">
      <c r="A1518" s="61"/>
      <c r="B1518" s="61"/>
      <c r="C1518" s="61"/>
      <c r="D1518" s="61"/>
      <c r="E1518" s="61"/>
      <c r="F1518" s="61"/>
      <c r="G1518" s="179"/>
      <c r="H1518" s="61"/>
      <c r="I1518" s="61"/>
      <c r="J1518" s="61"/>
      <c r="K1518" s="61"/>
      <c r="L1518" s="61"/>
      <c r="M1518" s="61"/>
      <c r="N1518" s="61"/>
      <c r="O1518" s="61"/>
      <c r="P1518" s="61"/>
      <c r="Q1518" s="61"/>
      <c r="R1518" s="61"/>
      <c r="S1518" s="61"/>
      <c r="T1518" s="61"/>
      <c r="U1518" s="61"/>
      <c r="V1518" s="61"/>
      <c r="W1518" s="61"/>
      <c r="X1518" s="61"/>
      <c r="Y1518" s="61"/>
      <c r="Z1518" s="61"/>
    </row>
    <row r="1519" spans="1:26" ht="13">
      <c r="A1519" s="61"/>
      <c r="B1519" s="61"/>
      <c r="C1519" s="61"/>
      <c r="D1519" s="61"/>
      <c r="E1519" s="61"/>
      <c r="F1519" s="61"/>
      <c r="G1519" s="179"/>
      <c r="H1519" s="61"/>
      <c r="I1519" s="61"/>
      <c r="J1519" s="61"/>
      <c r="K1519" s="61"/>
      <c r="L1519" s="61"/>
      <c r="M1519" s="61"/>
      <c r="N1519" s="61"/>
      <c r="O1519" s="61"/>
      <c r="P1519" s="61"/>
      <c r="Q1519" s="61"/>
      <c r="R1519" s="61"/>
      <c r="S1519" s="61"/>
      <c r="T1519" s="61"/>
      <c r="U1519" s="61"/>
      <c r="V1519" s="61"/>
      <c r="W1519" s="61"/>
      <c r="X1519" s="61"/>
      <c r="Y1519" s="61"/>
      <c r="Z1519" s="61"/>
    </row>
    <row r="1520" spans="1:26" ht="13">
      <c r="A1520" s="61"/>
      <c r="B1520" s="61"/>
      <c r="C1520" s="61"/>
      <c r="D1520" s="61"/>
      <c r="E1520" s="61"/>
      <c r="F1520" s="61"/>
      <c r="G1520" s="179"/>
      <c r="H1520" s="61"/>
      <c r="I1520" s="61"/>
      <c r="J1520" s="61"/>
      <c r="K1520" s="61"/>
      <c r="L1520" s="61"/>
      <c r="M1520" s="61"/>
      <c r="N1520" s="61"/>
      <c r="O1520" s="61"/>
      <c r="P1520" s="61"/>
      <c r="Q1520" s="61"/>
      <c r="R1520" s="61"/>
      <c r="S1520" s="61"/>
      <c r="T1520" s="61"/>
      <c r="U1520" s="61"/>
      <c r="V1520" s="61"/>
      <c r="W1520" s="61"/>
      <c r="X1520" s="61"/>
      <c r="Y1520" s="61"/>
      <c r="Z1520" s="61"/>
    </row>
    <row r="1521" spans="1:26" ht="13">
      <c r="A1521" s="61"/>
      <c r="B1521" s="61"/>
      <c r="C1521" s="61"/>
      <c r="D1521" s="61"/>
      <c r="E1521" s="61"/>
      <c r="F1521" s="61"/>
      <c r="G1521" s="179"/>
      <c r="H1521" s="61"/>
      <c r="I1521" s="61"/>
      <c r="J1521" s="61"/>
      <c r="K1521" s="61"/>
      <c r="L1521" s="61"/>
      <c r="M1521" s="61"/>
      <c r="N1521" s="61"/>
      <c r="O1521" s="61"/>
      <c r="P1521" s="61"/>
      <c r="Q1521" s="61"/>
      <c r="R1521" s="61"/>
      <c r="S1521" s="61"/>
      <c r="T1521" s="61"/>
      <c r="U1521" s="61"/>
      <c r="V1521" s="61"/>
      <c r="W1521" s="61"/>
      <c r="X1521" s="61"/>
      <c r="Y1521" s="61"/>
      <c r="Z1521" s="61"/>
    </row>
    <row r="1522" spans="1:26" ht="13">
      <c r="A1522" s="61"/>
      <c r="B1522" s="61"/>
      <c r="C1522" s="61"/>
      <c r="D1522" s="61"/>
      <c r="E1522" s="61"/>
      <c r="F1522" s="61"/>
      <c r="G1522" s="179"/>
      <c r="H1522" s="61"/>
      <c r="I1522" s="61"/>
      <c r="J1522" s="61"/>
      <c r="K1522" s="61"/>
      <c r="L1522" s="61"/>
      <c r="M1522" s="61"/>
      <c r="N1522" s="61"/>
      <c r="O1522" s="61"/>
      <c r="P1522" s="61"/>
      <c r="Q1522" s="61"/>
      <c r="R1522" s="61"/>
      <c r="S1522" s="61"/>
      <c r="T1522" s="61"/>
      <c r="U1522" s="61"/>
      <c r="V1522" s="61"/>
      <c r="W1522" s="61"/>
      <c r="X1522" s="61"/>
      <c r="Y1522" s="61"/>
      <c r="Z1522" s="61"/>
    </row>
    <row r="1523" spans="1:26" ht="13">
      <c r="A1523" s="61"/>
      <c r="B1523" s="61"/>
      <c r="C1523" s="61"/>
      <c r="D1523" s="61"/>
      <c r="E1523" s="61"/>
      <c r="F1523" s="61"/>
      <c r="G1523" s="179"/>
      <c r="H1523" s="61"/>
      <c r="I1523" s="61"/>
      <c r="J1523" s="61"/>
      <c r="K1523" s="61"/>
      <c r="L1523" s="61"/>
      <c r="M1523" s="61"/>
      <c r="N1523" s="61"/>
      <c r="O1523" s="61"/>
      <c r="P1523" s="61"/>
      <c r="Q1523" s="61"/>
      <c r="R1523" s="61"/>
      <c r="S1523" s="61"/>
      <c r="T1523" s="61"/>
      <c r="U1523" s="61"/>
      <c r="V1523" s="61"/>
      <c r="W1523" s="61"/>
      <c r="X1523" s="61"/>
      <c r="Y1523" s="61"/>
      <c r="Z1523" s="61"/>
    </row>
    <row r="1524" spans="1:26" ht="13">
      <c r="A1524" s="61"/>
      <c r="B1524" s="61"/>
      <c r="C1524" s="61"/>
      <c r="D1524" s="61"/>
      <c r="E1524" s="61"/>
      <c r="F1524" s="61"/>
      <c r="G1524" s="179"/>
      <c r="H1524" s="61"/>
      <c r="I1524" s="61"/>
      <c r="J1524" s="61"/>
      <c r="K1524" s="61"/>
      <c r="L1524" s="61"/>
      <c r="M1524" s="61"/>
      <c r="N1524" s="61"/>
      <c r="O1524" s="61"/>
      <c r="P1524" s="61"/>
      <c r="Q1524" s="61"/>
      <c r="R1524" s="61"/>
      <c r="S1524" s="61"/>
      <c r="T1524" s="61"/>
      <c r="U1524" s="61"/>
      <c r="V1524" s="61"/>
      <c r="W1524" s="61"/>
      <c r="X1524" s="61"/>
      <c r="Y1524" s="61"/>
      <c r="Z1524" s="61"/>
    </row>
    <row r="1525" spans="1:26" ht="13">
      <c r="A1525" s="61"/>
      <c r="B1525" s="61"/>
      <c r="C1525" s="61"/>
      <c r="D1525" s="61"/>
      <c r="E1525" s="61"/>
      <c r="F1525" s="61"/>
      <c r="G1525" s="179"/>
      <c r="H1525" s="61"/>
      <c r="I1525" s="61"/>
      <c r="J1525" s="61"/>
      <c r="K1525" s="61"/>
      <c r="L1525" s="61"/>
      <c r="M1525" s="61"/>
      <c r="N1525" s="61"/>
      <c r="O1525" s="61"/>
      <c r="P1525" s="61"/>
      <c r="Q1525" s="61"/>
      <c r="R1525" s="61"/>
      <c r="S1525" s="61"/>
      <c r="T1525" s="61"/>
      <c r="U1525" s="61"/>
      <c r="V1525" s="61"/>
      <c r="W1525" s="61"/>
      <c r="X1525" s="61"/>
      <c r="Y1525" s="61"/>
      <c r="Z1525" s="61"/>
    </row>
    <row r="1526" spans="1:26" ht="13">
      <c r="A1526" s="61"/>
      <c r="B1526" s="61"/>
      <c r="C1526" s="61"/>
      <c r="D1526" s="61"/>
      <c r="E1526" s="61"/>
      <c r="F1526" s="61"/>
      <c r="G1526" s="179"/>
      <c r="H1526" s="61"/>
      <c r="I1526" s="61"/>
      <c r="J1526" s="61"/>
      <c r="K1526" s="61"/>
      <c r="L1526" s="61"/>
      <c r="M1526" s="61"/>
      <c r="N1526" s="61"/>
      <c r="O1526" s="61"/>
      <c r="P1526" s="61"/>
      <c r="Q1526" s="61"/>
      <c r="R1526" s="61"/>
      <c r="S1526" s="61"/>
      <c r="T1526" s="61"/>
      <c r="U1526" s="61"/>
      <c r="V1526" s="61"/>
      <c r="W1526" s="61"/>
      <c r="X1526" s="61"/>
      <c r="Y1526" s="61"/>
      <c r="Z1526" s="61"/>
    </row>
    <row r="1527" spans="1:26" ht="13">
      <c r="A1527" s="61"/>
      <c r="B1527" s="61"/>
      <c r="C1527" s="61"/>
      <c r="D1527" s="61"/>
      <c r="E1527" s="61"/>
      <c r="F1527" s="61"/>
      <c r="G1527" s="179"/>
      <c r="H1527" s="61"/>
      <c r="I1527" s="61"/>
      <c r="J1527" s="61"/>
      <c r="K1527" s="61"/>
      <c r="L1527" s="61"/>
      <c r="M1527" s="61"/>
      <c r="N1527" s="61"/>
      <c r="O1527" s="61"/>
      <c r="P1527" s="61"/>
      <c r="Q1527" s="61"/>
      <c r="R1527" s="61"/>
      <c r="S1527" s="61"/>
      <c r="T1527" s="61"/>
      <c r="U1527" s="61"/>
      <c r="V1527" s="61"/>
      <c r="W1527" s="61"/>
      <c r="X1527" s="61"/>
      <c r="Y1527" s="61"/>
      <c r="Z1527" s="61"/>
    </row>
    <row r="1528" spans="1:26" ht="13">
      <c r="A1528" s="61"/>
      <c r="B1528" s="61"/>
      <c r="C1528" s="61"/>
      <c r="D1528" s="61"/>
      <c r="E1528" s="61"/>
      <c r="F1528" s="61"/>
      <c r="G1528" s="179"/>
      <c r="H1528" s="61"/>
      <c r="I1528" s="61"/>
      <c r="J1528" s="61"/>
      <c r="K1528" s="61"/>
      <c r="L1528" s="61"/>
      <c r="M1528" s="61"/>
      <c r="N1528" s="61"/>
      <c r="O1528" s="61"/>
      <c r="P1528" s="61"/>
      <c r="Q1528" s="61"/>
      <c r="R1528" s="61"/>
      <c r="S1528" s="61"/>
      <c r="T1528" s="61"/>
      <c r="U1528" s="61"/>
      <c r="V1528" s="61"/>
      <c r="W1528" s="61"/>
      <c r="X1528" s="61"/>
      <c r="Y1528" s="61"/>
      <c r="Z1528" s="61"/>
    </row>
    <row r="1529" spans="1:26" ht="13">
      <c r="A1529" s="61"/>
      <c r="B1529" s="61"/>
      <c r="C1529" s="61"/>
      <c r="D1529" s="61"/>
      <c r="E1529" s="61"/>
      <c r="F1529" s="61"/>
      <c r="G1529" s="179"/>
      <c r="H1529" s="61"/>
      <c r="I1529" s="61"/>
      <c r="J1529" s="61"/>
      <c r="K1529" s="61"/>
      <c r="L1529" s="61"/>
      <c r="M1529" s="61"/>
      <c r="N1529" s="61"/>
      <c r="O1529" s="61"/>
      <c r="P1529" s="61"/>
      <c r="Q1529" s="61"/>
      <c r="R1529" s="61"/>
      <c r="S1529" s="61"/>
      <c r="T1529" s="61"/>
      <c r="U1529" s="61"/>
      <c r="V1529" s="61"/>
      <c r="W1529" s="61"/>
      <c r="X1529" s="61"/>
      <c r="Y1529" s="61"/>
      <c r="Z1529" s="61"/>
    </row>
    <row r="1530" spans="1:26" ht="13">
      <c r="A1530" s="61"/>
      <c r="B1530" s="61"/>
      <c r="C1530" s="61"/>
      <c r="D1530" s="61"/>
      <c r="E1530" s="61"/>
      <c r="F1530" s="61"/>
      <c r="G1530" s="179"/>
      <c r="H1530" s="61"/>
      <c r="I1530" s="61"/>
      <c r="J1530" s="61"/>
      <c r="K1530" s="61"/>
      <c r="L1530" s="61"/>
      <c r="M1530" s="61"/>
      <c r="N1530" s="61"/>
      <c r="O1530" s="61"/>
      <c r="P1530" s="61"/>
      <c r="Q1530" s="61"/>
      <c r="R1530" s="61"/>
      <c r="S1530" s="61"/>
      <c r="T1530" s="61"/>
      <c r="U1530" s="61"/>
      <c r="V1530" s="61"/>
      <c r="W1530" s="61"/>
      <c r="X1530" s="61"/>
      <c r="Y1530" s="61"/>
      <c r="Z1530" s="61"/>
    </row>
    <row r="1531" spans="1:26" ht="13">
      <c r="A1531" s="61"/>
      <c r="B1531" s="61"/>
      <c r="C1531" s="61"/>
      <c r="D1531" s="61"/>
      <c r="E1531" s="61"/>
      <c r="F1531" s="61"/>
      <c r="G1531" s="179"/>
      <c r="H1531" s="61"/>
      <c r="I1531" s="61"/>
      <c r="J1531" s="61"/>
      <c r="K1531" s="61"/>
      <c r="L1531" s="61"/>
      <c r="M1531" s="61"/>
      <c r="N1531" s="61"/>
      <c r="O1531" s="61"/>
      <c r="P1531" s="61"/>
      <c r="Q1531" s="61"/>
      <c r="R1531" s="61"/>
      <c r="S1531" s="61"/>
      <c r="T1531" s="61"/>
      <c r="U1531" s="61"/>
      <c r="V1531" s="61"/>
      <c r="W1531" s="61"/>
      <c r="X1531" s="61"/>
      <c r="Y1531" s="61"/>
      <c r="Z1531" s="61"/>
    </row>
    <row r="1532" spans="1:26" ht="13">
      <c r="A1532" s="61"/>
      <c r="B1532" s="61"/>
      <c r="C1532" s="61"/>
      <c r="D1532" s="61"/>
      <c r="E1532" s="61"/>
      <c r="F1532" s="61"/>
      <c r="G1532" s="179"/>
      <c r="H1532" s="61"/>
      <c r="I1532" s="61"/>
      <c r="J1532" s="61"/>
      <c r="K1532" s="61"/>
      <c r="L1532" s="61"/>
      <c r="M1532" s="61"/>
      <c r="N1532" s="61"/>
      <c r="O1532" s="61"/>
      <c r="P1532" s="61"/>
      <c r="Q1532" s="61"/>
      <c r="R1532" s="61"/>
      <c r="S1532" s="61"/>
      <c r="T1532" s="61"/>
      <c r="U1532" s="61"/>
      <c r="V1532" s="61"/>
      <c r="W1532" s="61"/>
      <c r="X1532" s="61"/>
      <c r="Y1532" s="61"/>
      <c r="Z1532" s="61"/>
    </row>
    <row r="1533" spans="1:26" ht="13">
      <c r="A1533" s="61"/>
      <c r="B1533" s="61"/>
      <c r="C1533" s="61"/>
      <c r="D1533" s="61"/>
      <c r="E1533" s="61"/>
      <c r="F1533" s="61"/>
      <c r="G1533" s="179"/>
      <c r="H1533" s="61"/>
      <c r="I1533" s="61"/>
      <c r="J1533" s="61"/>
      <c r="K1533" s="61"/>
      <c r="L1533" s="61"/>
      <c r="M1533" s="61"/>
      <c r="N1533" s="61"/>
      <c r="O1533" s="61"/>
      <c r="P1533" s="61"/>
      <c r="Q1533" s="61"/>
      <c r="R1533" s="61"/>
      <c r="S1533" s="61"/>
      <c r="T1533" s="61"/>
      <c r="U1533" s="61"/>
      <c r="V1533" s="61"/>
      <c r="W1533" s="61"/>
      <c r="X1533" s="61"/>
      <c r="Y1533" s="61"/>
      <c r="Z1533" s="61"/>
    </row>
    <row r="1534" spans="1:26" ht="13">
      <c r="A1534" s="61"/>
      <c r="B1534" s="61"/>
      <c r="C1534" s="61"/>
      <c r="D1534" s="61"/>
      <c r="E1534" s="61"/>
      <c r="F1534" s="61"/>
      <c r="G1534" s="179"/>
      <c r="H1534" s="61"/>
      <c r="I1534" s="61"/>
      <c r="J1534" s="61"/>
      <c r="K1534" s="61"/>
      <c r="L1534" s="61"/>
      <c r="M1534" s="61"/>
      <c r="N1534" s="61"/>
      <c r="O1534" s="61"/>
      <c r="P1534" s="61"/>
      <c r="Q1534" s="61"/>
      <c r="R1534" s="61"/>
      <c r="S1534" s="61"/>
      <c r="T1534" s="61"/>
      <c r="U1534" s="61"/>
      <c r="V1534" s="61"/>
      <c r="W1534" s="61"/>
      <c r="X1534" s="61"/>
      <c r="Y1534" s="61"/>
      <c r="Z1534" s="61"/>
    </row>
    <row r="1535" spans="1:26" ht="13">
      <c r="A1535" s="61"/>
      <c r="B1535" s="61"/>
      <c r="C1535" s="61"/>
      <c r="D1535" s="61"/>
      <c r="E1535" s="61"/>
      <c r="F1535" s="61"/>
      <c r="G1535" s="179"/>
      <c r="H1535" s="61"/>
      <c r="I1535" s="61"/>
      <c r="J1535" s="61"/>
      <c r="K1535" s="61"/>
      <c r="L1535" s="61"/>
      <c r="M1535" s="61"/>
      <c r="N1535" s="61"/>
      <c r="O1535" s="61"/>
      <c r="P1535" s="61"/>
      <c r="Q1535" s="61"/>
      <c r="R1535" s="61"/>
      <c r="S1535" s="61"/>
      <c r="T1535" s="61"/>
      <c r="U1535" s="61"/>
      <c r="V1535" s="61"/>
      <c r="W1535" s="61"/>
      <c r="X1535" s="61"/>
      <c r="Y1535" s="61"/>
      <c r="Z1535" s="61"/>
    </row>
    <row r="1536" spans="1:26" ht="13">
      <c r="A1536" s="61"/>
      <c r="B1536" s="61"/>
      <c r="C1536" s="61"/>
      <c r="D1536" s="61"/>
      <c r="E1536" s="61"/>
      <c r="F1536" s="61"/>
      <c r="G1536" s="179"/>
      <c r="H1536" s="61"/>
      <c r="I1536" s="61"/>
      <c r="J1536" s="61"/>
      <c r="K1536" s="61"/>
      <c r="L1536" s="61"/>
      <c r="M1536" s="61"/>
      <c r="N1536" s="61"/>
      <c r="O1536" s="61"/>
      <c r="P1536" s="61"/>
      <c r="Q1536" s="61"/>
      <c r="R1536" s="61"/>
      <c r="S1536" s="61"/>
      <c r="T1536" s="61"/>
      <c r="U1536" s="61"/>
      <c r="V1536" s="61"/>
      <c r="W1536" s="61"/>
      <c r="X1536" s="61"/>
      <c r="Y1536" s="61"/>
      <c r="Z1536" s="61"/>
    </row>
    <row r="1537" spans="1:26" ht="13">
      <c r="A1537" s="61"/>
      <c r="B1537" s="61"/>
      <c r="C1537" s="61"/>
      <c r="D1537" s="61"/>
      <c r="E1537" s="61"/>
      <c r="F1537" s="61"/>
      <c r="G1537" s="179"/>
      <c r="H1537" s="61"/>
      <c r="I1537" s="61"/>
      <c r="J1537" s="61"/>
      <c r="K1537" s="61"/>
      <c r="L1537" s="61"/>
      <c r="M1537" s="61"/>
      <c r="N1537" s="61"/>
      <c r="O1537" s="61"/>
      <c r="P1537" s="61"/>
      <c r="Q1537" s="61"/>
      <c r="R1537" s="61"/>
      <c r="S1537" s="61"/>
      <c r="T1537" s="61"/>
      <c r="U1537" s="61"/>
      <c r="V1537" s="61"/>
      <c r="W1537" s="61"/>
      <c r="X1537" s="61"/>
      <c r="Y1537" s="61"/>
      <c r="Z1537" s="61"/>
    </row>
    <row r="1538" spans="1:26" ht="13">
      <c r="A1538" s="61"/>
      <c r="B1538" s="61"/>
      <c r="C1538" s="61"/>
      <c r="D1538" s="61"/>
      <c r="E1538" s="61"/>
      <c r="F1538" s="61"/>
      <c r="G1538" s="179"/>
      <c r="H1538" s="61"/>
      <c r="I1538" s="61"/>
      <c r="J1538" s="61"/>
      <c r="K1538" s="61"/>
      <c r="L1538" s="61"/>
      <c r="M1538" s="61"/>
      <c r="N1538" s="61"/>
      <c r="O1538" s="61"/>
      <c r="P1538" s="61"/>
      <c r="Q1538" s="61"/>
      <c r="R1538" s="61"/>
      <c r="S1538" s="61"/>
      <c r="T1538" s="61"/>
      <c r="U1538" s="61"/>
      <c r="V1538" s="61"/>
      <c r="W1538" s="61"/>
      <c r="X1538" s="61"/>
      <c r="Y1538" s="61"/>
      <c r="Z1538" s="61"/>
    </row>
    <row r="1539" spans="1:26" ht="13">
      <c r="A1539" s="61"/>
      <c r="B1539" s="61"/>
      <c r="C1539" s="61"/>
      <c r="D1539" s="61"/>
      <c r="E1539" s="61"/>
      <c r="F1539" s="61"/>
      <c r="G1539" s="179"/>
      <c r="H1539" s="61"/>
      <c r="I1539" s="61"/>
      <c r="J1539" s="61"/>
      <c r="K1539" s="61"/>
      <c r="L1539" s="61"/>
      <c r="M1539" s="61"/>
      <c r="N1539" s="61"/>
      <c r="O1539" s="61"/>
      <c r="P1539" s="61"/>
      <c r="Q1539" s="61"/>
      <c r="R1539" s="61"/>
      <c r="S1539" s="61"/>
      <c r="T1539" s="61"/>
      <c r="U1539" s="61"/>
      <c r="V1539" s="61"/>
      <c r="W1539" s="61"/>
      <c r="X1539" s="61"/>
      <c r="Y1539" s="61"/>
      <c r="Z1539" s="61"/>
    </row>
    <row r="1540" spans="1:26" ht="13">
      <c r="A1540" s="61"/>
      <c r="B1540" s="61"/>
      <c r="C1540" s="61"/>
      <c r="D1540" s="61"/>
      <c r="E1540" s="61"/>
      <c r="F1540" s="61"/>
      <c r="G1540" s="179"/>
      <c r="H1540" s="61"/>
      <c r="I1540" s="61"/>
      <c r="J1540" s="61"/>
      <c r="K1540" s="61"/>
      <c r="L1540" s="61"/>
      <c r="M1540" s="61"/>
      <c r="N1540" s="61"/>
      <c r="O1540" s="61"/>
      <c r="P1540" s="61"/>
      <c r="Q1540" s="61"/>
      <c r="R1540" s="61"/>
      <c r="S1540" s="61"/>
      <c r="T1540" s="61"/>
      <c r="U1540" s="61"/>
      <c r="V1540" s="61"/>
      <c r="W1540" s="61"/>
      <c r="X1540" s="61"/>
      <c r="Y1540" s="61"/>
      <c r="Z1540" s="61"/>
    </row>
    <row r="1541" spans="1:26" ht="13">
      <c r="A1541" s="61"/>
      <c r="B1541" s="61"/>
      <c r="C1541" s="61"/>
      <c r="D1541" s="61"/>
      <c r="E1541" s="61"/>
      <c r="F1541" s="61"/>
      <c r="G1541" s="179"/>
      <c r="H1541" s="61"/>
      <c r="I1541" s="61"/>
      <c r="J1541" s="61"/>
      <c r="K1541" s="61"/>
      <c r="L1541" s="61"/>
      <c r="M1541" s="61"/>
      <c r="N1541" s="61"/>
      <c r="O1541" s="61"/>
      <c r="P1541" s="61"/>
      <c r="Q1541" s="61"/>
      <c r="R1541" s="61"/>
      <c r="S1541" s="61"/>
      <c r="T1541" s="61"/>
      <c r="U1541" s="61"/>
      <c r="V1541" s="61"/>
      <c r="W1541" s="61"/>
      <c r="X1541" s="61"/>
      <c r="Y1541" s="61"/>
      <c r="Z1541" s="61"/>
    </row>
    <row r="1542" spans="1:26" ht="13">
      <c r="A1542" s="61"/>
      <c r="B1542" s="61"/>
      <c r="C1542" s="61"/>
      <c r="D1542" s="61"/>
      <c r="E1542" s="61"/>
      <c r="F1542" s="61"/>
      <c r="G1542" s="179"/>
      <c r="H1542" s="61"/>
      <c r="I1542" s="61"/>
      <c r="J1542" s="61"/>
      <c r="K1542" s="61"/>
      <c r="L1542" s="61"/>
      <c r="M1542" s="61"/>
      <c r="N1542" s="61"/>
      <c r="O1542" s="61"/>
      <c r="P1542" s="61"/>
      <c r="Q1542" s="61"/>
      <c r="R1542" s="61"/>
      <c r="S1542" s="61"/>
      <c r="T1542" s="61"/>
      <c r="U1542" s="61"/>
      <c r="V1542" s="61"/>
      <c r="W1542" s="61"/>
      <c r="X1542" s="61"/>
      <c r="Y1542" s="61"/>
      <c r="Z1542" s="61"/>
    </row>
    <row r="1543" spans="1:26" ht="13">
      <c r="A1543" s="61"/>
      <c r="B1543" s="61"/>
      <c r="C1543" s="61"/>
      <c r="D1543" s="61"/>
      <c r="E1543" s="61"/>
      <c r="F1543" s="61"/>
      <c r="G1543" s="179"/>
      <c r="H1543" s="61"/>
      <c r="I1543" s="61"/>
      <c r="J1543" s="61"/>
      <c r="K1543" s="61"/>
      <c r="L1543" s="61"/>
      <c r="M1543" s="61"/>
      <c r="N1543" s="61"/>
      <c r="O1543" s="61"/>
      <c r="P1543" s="61"/>
      <c r="Q1543" s="61"/>
      <c r="R1543" s="61"/>
      <c r="S1543" s="61"/>
      <c r="T1543" s="61"/>
      <c r="U1543" s="61"/>
      <c r="V1543" s="61"/>
      <c r="W1543" s="61"/>
      <c r="X1543" s="61"/>
      <c r="Y1543" s="61"/>
      <c r="Z1543" s="61"/>
    </row>
    <row r="1544" spans="1:26" ht="13">
      <c r="A1544" s="61"/>
      <c r="B1544" s="61"/>
      <c r="C1544" s="61"/>
      <c r="D1544" s="61"/>
      <c r="E1544" s="61"/>
      <c r="F1544" s="61"/>
      <c r="G1544" s="179"/>
      <c r="H1544" s="61"/>
      <c r="I1544" s="61"/>
      <c r="J1544" s="61"/>
      <c r="K1544" s="61"/>
      <c r="L1544" s="61"/>
      <c r="M1544" s="61"/>
      <c r="N1544" s="61"/>
      <c r="O1544" s="61"/>
      <c r="P1544" s="61"/>
      <c r="Q1544" s="61"/>
      <c r="R1544" s="61"/>
      <c r="S1544" s="61"/>
      <c r="T1544" s="61"/>
      <c r="U1544" s="61"/>
      <c r="V1544" s="61"/>
      <c r="W1544" s="61"/>
      <c r="X1544" s="61"/>
      <c r="Y1544" s="61"/>
      <c r="Z1544" s="61"/>
    </row>
    <row r="1545" spans="1:26" ht="13">
      <c r="A1545" s="61"/>
      <c r="B1545" s="61"/>
      <c r="C1545" s="61"/>
      <c r="D1545" s="61"/>
      <c r="E1545" s="61"/>
      <c r="F1545" s="61"/>
      <c r="G1545" s="179"/>
      <c r="H1545" s="61"/>
      <c r="I1545" s="61"/>
      <c r="J1545" s="61"/>
      <c r="K1545" s="61"/>
      <c r="L1545" s="61"/>
      <c r="M1545" s="61"/>
      <c r="N1545" s="61"/>
      <c r="O1545" s="61"/>
      <c r="P1545" s="61"/>
      <c r="Q1545" s="61"/>
      <c r="R1545" s="61"/>
      <c r="S1545" s="61"/>
      <c r="T1545" s="61"/>
      <c r="U1545" s="61"/>
      <c r="V1545" s="61"/>
      <c r="W1545" s="61"/>
      <c r="X1545" s="61"/>
      <c r="Y1545" s="61"/>
      <c r="Z1545" s="61"/>
    </row>
    <row r="1546" spans="1:26" ht="13">
      <c r="A1546" s="61"/>
      <c r="B1546" s="61"/>
      <c r="C1546" s="61"/>
      <c r="D1546" s="61"/>
      <c r="E1546" s="61"/>
      <c r="F1546" s="61"/>
      <c r="G1546" s="179"/>
      <c r="H1546" s="61"/>
      <c r="I1546" s="61"/>
      <c r="J1546" s="61"/>
      <c r="K1546" s="61"/>
      <c r="L1546" s="61"/>
      <c r="M1546" s="61"/>
      <c r="N1546" s="61"/>
      <c r="O1546" s="61"/>
      <c r="P1546" s="61"/>
      <c r="Q1546" s="61"/>
      <c r="R1546" s="61"/>
      <c r="S1546" s="61"/>
      <c r="T1546" s="61"/>
      <c r="U1546" s="61"/>
      <c r="V1546" s="61"/>
      <c r="W1546" s="61"/>
      <c r="X1546" s="61"/>
      <c r="Y1546" s="61"/>
      <c r="Z1546" s="61"/>
    </row>
    <row r="1547" spans="1:26" ht="13">
      <c r="A1547" s="61"/>
      <c r="B1547" s="61"/>
      <c r="C1547" s="61"/>
      <c r="D1547" s="61"/>
      <c r="E1547" s="61"/>
      <c r="F1547" s="61"/>
      <c r="G1547" s="179"/>
      <c r="H1547" s="61"/>
      <c r="I1547" s="61"/>
      <c r="J1547" s="61"/>
      <c r="K1547" s="61"/>
      <c r="L1547" s="61"/>
      <c r="M1547" s="61"/>
      <c r="N1547" s="61"/>
      <c r="O1547" s="61"/>
      <c r="P1547" s="61"/>
      <c r="Q1547" s="61"/>
      <c r="R1547" s="61"/>
      <c r="S1547" s="61"/>
      <c r="T1547" s="61"/>
      <c r="U1547" s="61"/>
      <c r="V1547" s="61"/>
      <c r="W1547" s="61"/>
      <c r="X1547" s="61"/>
      <c r="Y1547" s="61"/>
      <c r="Z1547" s="61"/>
    </row>
    <row r="1548" spans="1:26" ht="13">
      <c r="A1548" s="61"/>
      <c r="B1548" s="61"/>
      <c r="C1548" s="61"/>
      <c r="D1548" s="61"/>
      <c r="E1548" s="61"/>
      <c r="F1548" s="61"/>
      <c r="G1548" s="179"/>
      <c r="H1548" s="61"/>
      <c r="I1548" s="61"/>
      <c r="J1548" s="61"/>
      <c r="K1548" s="61"/>
      <c r="L1548" s="61"/>
      <c r="M1548" s="61"/>
      <c r="N1548" s="61"/>
      <c r="O1548" s="61"/>
      <c r="P1548" s="61"/>
      <c r="Q1548" s="61"/>
      <c r="R1548" s="61"/>
      <c r="S1548" s="61"/>
      <c r="T1548" s="61"/>
      <c r="U1548" s="61"/>
      <c r="V1548" s="61"/>
      <c r="W1548" s="61"/>
      <c r="X1548" s="61"/>
      <c r="Y1548" s="61"/>
      <c r="Z1548" s="61"/>
    </row>
    <row r="1549" spans="1:26" ht="13">
      <c r="A1549" s="61"/>
      <c r="B1549" s="61"/>
      <c r="C1549" s="61"/>
      <c r="D1549" s="61"/>
      <c r="E1549" s="61"/>
      <c r="F1549" s="61"/>
      <c r="G1549" s="179"/>
      <c r="H1549" s="61"/>
      <c r="I1549" s="61"/>
      <c r="J1549" s="61"/>
      <c r="K1549" s="61"/>
      <c r="L1549" s="61"/>
      <c r="M1549" s="61"/>
      <c r="N1549" s="61"/>
      <c r="O1549" s="61"/>
      <c r="P1549" s="61"/>
      <c r="Q1549" s="61"/>
      <c r="R1549" s="61"/>
      <c r="S1549" s="61"/>
      <c r="T1549" s="61"/>
      <c r="U1549" s="61"/>
      <c r="V1549" s="61"/>
      <c r="W1549" s="61"/>
      <c r="X1549" s="61"/>
      <c r="Y1549" s="61"/>
      <c r="Z1549" s="61"/>
    </row>
    <row r="1550" spans="1:26" ht="13">
      <c r="A1550" s="61"/>
      <c r="B1550" s="61"/>
      <c r="C1550" s="61"/>
      <c r="D1550" s="61"/>
      <c r="E1550" s="61"/>
      <c r="F1550" s="61"/>
      <c r="G1550" s="179"/>
      <c r="H1550" s="61"/>
      <c r="I1550" s="61"/>
      <c r="J1550" s="61"/>
      <c r="K1550" s="61"/>
      <c r="L1550" s="61"/>
      <c r="M1550" s="61"/>
      <c r="N1550" s="61"/>
      <c r="O1550" s="61"/>
      <c r="P1550" s="61"/>
      <c r="Q1550" s="61"/>
      <c r="R1550" s="61"/>
      <c r="S1550" s="61"/>
      <c r="T1550" s="61"/>
      <c r="U1550" s="61"/>
      <c r="V1550" s="61"/>
      <c r="W1550" s="61"/>
      <c r="X1550" s="61"/>
      <c r="Y1550" s="61"/>
      <c r="Z1550" s="61"/>
    </row>
    <row r="1551" spans="1:26" ht="13">
      <c r="A1551" s="61"/>
      <c r="B1551" s="61"/>
      <c r="C1551" s="61"/>
      <c r="D1551" s="61"/>
      <c r="E1551" s="61"/>
      <c r="F1551" s="61"/>
      <c r="G1551" s="179"/>
      <c r="H1551" s="61"/>
      <c r="I1551" s="61"/>
      <c r="J1551" s="61"/>
      <c r="K1551" s="61"/>
      <c r="L1551" s="61"/>
      <c r="M1551" s="61"/>
      <c r="N1551" s="61"/>
      <c r="O1551" s="61"/>
      <c r="P1551" s="61"/>
      <c r="Q1551" s="61"/>
      <c r="R1551" s="61"/>
      <c r="S1551" s="61"/>
      <c r="T1551" s="61"/>
      <c r="U1551" s="61"/>
      <c r="V1551" s="61"/>
      <c r="W1551" s="61"/>
      <c r="X1551" s="61"/>
      <c r="Y1551" s="61"/>
      <c r="Z1551" s="61"/>
    </row>
    <row r="1552" spans="1:26" ht="13">
      <c r="A1552" s="61"/>
      <c r="B1552" s="61"/>
      <c r="C1552" s="61"/>
      <c r="D1552" s="61"/>
      <c r="E1552" s="61"/>
      <c r="F1552" s="61"/>
      <c r="G1552" s="179"/>
      <c r="H1552" s="61"/>
      <c r="I1552" s="61"/>
      <c r="J1552" s="61"/>
      <c r="K1552" s="61"/>
      <c r="L1552" s="61"/>
      <c r="M1552" s="61"/>
      <c r="N1552" s="61"/>
      <c r="O1552" s="61"/>
      <c r="P1552" s="61"/>
      <c r="Q1552" s="61"/>
      <c r="R1552" s="61"/>
      <c r="S1552" s="61"/>
      <c r="T1552" s="61"/>
      <c r="U1552" s="61"/>
      <c r="V1552" s="61"/>
      <c r="W1552" s="61"/>
      <c r="X1552" s="61"/>
      <c r="Y1552" s="61"/>
      <c r="Z1552" s="61"/>
    </row>
    <row r="1553" spans="1:26" ht="13">
      <c r="A1553" s="61"/>
      <c r="B1553" s="61"/>
      <c r="C1553" s="61"/>
      <c r="D1553" s="61"/>
      <c r="E1553" s="61"/>
      <c r="F1553" s="61"/>
      <c r="G1553" s="179"/>
      <c r="H1553" s="61"/>
      <c r="I1553" s="61"/>
      <c r="J1553" s="61"/>
      <c r="K1553" s="61"/>
      <c r="L1553" s="61"/>
      <c r="M1553" s="61"/>
      <c r="N1553" s="61"/>
      <c r="O1553" s="61"/>
      <c r="P1553" s="61"/>
      <c r="Q1553" s="61"/>
      <c r="R1553" s="61"/>
      <c r="S1553" s="61"/>
      <c r="T1553" s="61"/>
      <c r="U1553" s="61"/>
      <c r="V1553" s="61"/>
      <c r="W1553" s="61"/>
      <c r="X1553" s="61"/>
      <c r="Y1553" s="61"/>
      <c r="Z1553" s="61"/>
    </row>
    <row r="1554" spans="1:26" ht="13">
      <c r="A1554" s="61"/>
      <c r="B1554" s="61"/>
      <c r="C1554" s="61"/>
      <c r="D1554" s="61"/>
      <c r="E1554" s="61"/>
      <c r="F1554" s="61"/>
      <c r="G1554" s="179"/>
      <c r="H1554" s="61"/>
      <c r="I1554" s="61"/>
      <c r="J1554" s="61"/>
      <c r="K1554" s="61"/>
      <c r="L1554" s="61"/>
      <c r="M1554" s="61"/>
      <c r="N1554" s="61"/>
      <c r="O1554" s="61"/>
      <c r="P1554" s="61"/>
      <c r="Q1554" s="61"/>
      <c r="R1554" s="61"/>
      <c r="S1554" s="61"/>
      <c r="T1554" s="61"/>
      <c r="U1554" s="61"/>
      <c r="V1554" s="61"/>
      <c r="W1554" s="61"/>
      <c r="X1554" s="61"/>
      <c r="Y1554" s="61"/>
      <c r="Z1554" s="61"/>
    </row>
    <row r="1555" spans="1:26" ht="13">
      <c r="A1555" s="61"/>
      <c r="B1555" s="61"/>
      <c r="C1555" s="61"/>
      <c r="D1555" s="61"/>
      <c r="E1555" s="61"/>
      <c r="F1555" s="61"/>
      <c r="G1555" s="179"/>
      <c r="H1555" s="61"/>
      <c r="I1555" s="61"/>
      <c r="J1555" s="61"/>
      <c r="K1555" s="61"/>
      <c r="L1555" s="61"/>
      <c r="M1555" s="61"/>
      <c r="N1555" s="61"/>
      <c r="O1555" s="61"/>
      <c r="P1555" s="61"/>
      <c r="Q1555" s="61"/>
      <c r="R1555" s="61"/>
      <c r="S1555" s="61"/>
      <c r="T1555" s="61"/>
      <c r="U1555" s="61"/>
      <c r="V1555" s="61"/>
      <c r="W1555" s="61"/>
      <c r="X1555" s="61"/>
      <c r="Y1555" s="61"/>
      <c r="Z1555" s="61"/>
    </row>
    <row r="1556" spans="1:26" ht="13">
      <c r="A1556" s="61"/>
      <c r="B1556" s="61"/>
      <c r="C1556" s="61"/>
      <c r="D1556" s="61"/>
      <c r="E1556" s="61"/>
      <c r="F1556" s="61"/>
      <c r="G1556" s="179"/>
      <c r="H1556" s="61"/>
      <c r="I1556" s="61"/>
      <c r="J1556" s="61"/>
      <c r="K1556" s="61"/>
      <c r="L1556" s="61"/>
      <c r="M1556" s="61"/>
      <c r="N1556" s="61"/>
      <c r="O1556" s="61"/>
      <c r="P1556" s="61"/>
      <c r="Q1556" s="61"/>
      <c r="R1556" s="61"/>
      <c r="S1556" s="61"/>
      <c r="T1556" s="61"/>
      <c r="U1556" s="61"/>
      <c r="V1556" s="61"/>
      <c r="W1556" s="61"/>
      <c r="X1556" s="61"/>
      <c r="Y1556" s="61"/>
      <c r="Z1556" s="61"/>
    </row>
    <row r="1557" spans="1:26" ht="13">
      <c r="A1557" s="61"/>
      <c r="B1557" s="61"/>
      <c r="C1557" s="61"/>
      <c r="D1557" s="61"/>
      <c r="E1557" s="61"/>
      <c r="F1557" s="61"/>
      <c r="G1557" s="179"/>
      <c r="H1557" s="61"/>
      <c r="I1557" s="61"/>
      <c r="J1557" s="61"/>
      <c r="K1557" s="61"/>
      <c r="L1557" s="61"/>
      <c r="M1557" s="61"/>
      <c r="N1557" s="61"/>
      <c r="O1557" s="61"/>
      <c r="P1557" s="61"/>
      <c r="Q1557" s="61"/>
      <c r="R1557" s="61"/>
      <c r="S1557" s="61"/>
      <c r="T1557" s="61"/>
      <c r="U1557" s="61"/>
      <c r="V1557" s="61"/>
      <c r="W1557" s="61"/>
      <c r="X1557" s="61"/>
      <c r="Y1557" s="61"/>
      <c r="Z1557" s="61"/>
    </row>
    <row r="1558" spans="1:26" ht="13">
      <c r="A1558" s="61"/>
      <c r="B1558" s="61"/>
      <c r="C1558" s="61"/>
      <c r="D1558" s="61"/>
      <c r="E1558" s="61"/>
      <c r="F1558" s="61"/>
      <c r="G1558" s="179"/>
      <c r="H1558" s="61"/>
      <c r="I1558" s="61"/>
      <c r="J1558" s="61"/>
      <c r="K1558" s="61"/>
      <c r="L1558" s="61"/>
      <c r="M1558" s="61"/>
      <c r="N1558" s="61"/>
      <c r="O1558" s="61"/>
      <c r="P1558" s="61"/>
      <c r="Q1558" s="61"/>
      <c r="R1558" s="61"/>
      <c r="S1558" s="61"/>
      <c r="T1558" s="61"/>
      <c r="U1558" s="61"/>
      <c r="V1558" s="61"/>
      <c r="W1558" s="61"/>
      <c r="X1558" s="61"/>
      <c r="Y1558" s="61"/>
      <c r="Z1558" s="61"/>
    </row>
    <row r="1559" spans="1:26" ht="13">
      <c r="A1559" s="61"/>
      <c r="B1559" s="61"/>
      <c r="C1559" s="61"/>
      <c r="D1559" s="61"/>
      <c r="E1559" s="61"/>
      <c r="F1559" s="61"/>
      <c r="G1559" s="179"/>
      <c r="H1559" s="61"/>
      <c r="I1559" s="61"/>
      <c r="J1559" s="61"/>
      <c r="K1559" s="61"/>
      <c r="L1559" s="61"/>
      <c r="M1559" s="61"/>
      <c r="N1559" s="61"/>
      <c r="O1559" s="61"/>
      <c r="P1559" s="61"/>
      <c r="Q1559" s="61"/>
      <c r="R1559" s="61"/>
      <c r="S1559" s="61"/>
      <c r="T1559" s="61"/>
      <c r="U1559" s="61"/>
      <c r="V1559" s="61"/>
      <c r="W1559" s="61"/>
      <c r="X1559" s="61"/>
      <c r="Y1559" s="61"/>
      <c r="Z1559" s="61"/>
    </row>
    <row r="1560" spans="1:26" ht="13">
      <c r="A1560" s="61"/>
      <c r="B1560" s="61"/>
      <c r="C1560" s="61"/>
      <c r="D1560" s="61"/>
      <c r="E1560" s="61"/>
      <c r="F1560" s="61"/>
      <c r="G1560" s="179"/>
      <c r="H1560" s="61"/>
      <c r="I1560" s="61"/>
      <c r="J1560" s="61"/>
      <c r="K1560" s="61"/>
      <c r="L1560" s="61"/>
      <c r="M1560" s="61"/>
      <c r="N1560" s="61"/>
      <c r="O1560" s="61"/>
      <c r="P1560" s="61"/>
      <c r="Q1560" s="61"/>
      <c r="R1560" s="61"/>
      <c r="S1560" s="61"/>
      <c r="T1560" s="61"/>
      <c r="U1560" s="61"/>
      <c r="V1560" s="61"/>
      <c r="W1560" s="61"/>
      <c r="X1560" s="61"/>
      <c r="Y1560" s="61"/>
      <c r="Z1560" s="61"/>
    </row>
    <row r="1561" spans="1:26" ht="13">
      <c r="A1561" s="61"/>
      <c r="B1561" s="61"/>
      <c r="C1561" s="61"/>
      <c r="D1561" s="61"/>
      <c r="E1561" s="61"/>
      <c r="F1561" s="61"/>
      <c r="G1561" s="179"/>
      <c r="H1561" s="61"/>
      <c r="I1561" s="61"/>
      <c r="J1561" s="61"/>
      <c r="K1561" s="61"/>
      <c r="L1561" s="61"/>
      <c r="M1561" s="61"/>
      <c r="N1561" s="61"/>
      <c r="O1561" s="61"/>
      <c r="P1561" s="61"/>
      <c r="Q1561" s="61"/>
      <c r="R1561" s="61"/>
      <c r="S1561" s="61"/>
      <c r="T1561" s="61"/>
      <c r="U1561" s="61"/>
      <c r="V1561" s="61"/>
      <c r="W1561" s="61"/>
      <c r="X1561" s="61"/>
      <c r="Y1561" s="61"/>
      <c r="Z1561" s="61"/>
    </row>
    <row r="1562" spans="1:26" ht="13">
      <c r="A1562" s="61"/>
      <c r="B1562" s="61"/>
      <c r="C1562" s="61"/>
      <c r="D1562" s="61"/>
      <c r="E1562" s="61"/>
      <c r="F1562" s="61"/>
      <c r="G1562" s="179"/>
      <c r="H1562" s="61"/>
      <c r="I1562" s="61"/>
      <c r="J1562" s="61"/>
      <c r="K1562" s="61"/>
      <c r="L1562" s="61"/>
      <c r="M1562" s="61"/>
      <c r="N1562" s="61"/>
      <c r="O1562" s="61"/>
      <c r="P1562" s="61"/>
      <c r="Q1562" s="61"/>
      <c r="R1562" s="61"/>
      <c r="S1562" s="61"/>
      <c r="T1562" s="61"/>
      <c r="U1562" s="61"/>
      <c r="V1562" s="61"/>
      <c r="W1562" s="61"/>
      <c r="X1562" s="61"/>
      <c r="Y1562" s="61"/>
      <c r="Z1562" s="61"/>
    </row>
    <row r="1563" spans="1:26" ht="13">
      <c r="A1563" s="61"/>
      <c r="B1563" s="61"/>
      <c r="C1563" s="61"/>
      <c r="D1563" s="61"/>
      <c r="E1563" s="61"/>
      <c r="F1563" s="61"/>
      <c r="G1563" s="179"/>
      <c r="H1563" s="61"/>
      <c r="I1563" s="61"/>
      <c r="J1563" s="61"/>
      <c r="K1563" s="61"/>
      <c r="L1563" s="61"/>
      <c r="M1563" s="61"/>
      <c r="N1563" s="61"/>
      <c r="O1563" s="61"/>
      <c r="P1563" s="61"/>
      <c r="Q1563" s="61"/>
      <c r="R1563" s="61"/>
      <c r="S1563" s="61"/>
      <c r="T1563" s="61"/>
      <c r="U1563" s="61"/>
      <c r="V1563" s="61"/>
      <c r="W1563" s="61"/>
      <c r="X1563" s="61"/>
      <c r="Y1563" s="61"/>
      <c r="Z1563" s="61"/>
    </row>
    <row r="1564" spans="1:26" ht="13">
      <c r="A1564" s="61"/>
      <c r="B1564" s="61"/>
      <c r="C1564" s="61"/>
      <c r="D1564" s="61"/>
      <c r="E1564" s="61"/>
      <c r="F1564" s="61"/>
      <c r="G1564" s="179"/>
      <c r="H1564" s="61"/>
      <c r="I1564" s="61"/>
      <c r="J1564" s="61"/>
      <c r="K1564" s="61"/>
      <c r="L1564" s="61"/>
      <c r="M1564" s="61"/>
      <c r="N1564" s="61"/>
      <c r="O1564" s="61"/>
      <c r="P1564" s="61"/>
      <c r="Q1564" s="61"/>
      <c r="R1564" s="61"/>
      <c r="S1564" s="61"/>
      <c r="T1564" s="61"/>
      <c r="U1564" s="61"/>
      <c r="V1564" s="61"/>
      <c r="W1564" s="61"/>
      <c r="X1564" s="61"/>
      <c r="Y1564" s="61"/>
      <c r="Z1564" s="61"/>
    </row>
    <row r="1565" spans="1:26" ht="13">
      <c r="A1565" s="61"/>
      <c r="B1565" s="61"/>
      <c r="C1565" s="61"/>
      <c r="D1565" s="61"/>
      <c r="E1565" s="61"/>
      <c r="F1565" s="61"/>
      <c r="G1565" s="179"/>
      <c r="H1565" s="61"/>
      <c r="I1565" s="61"/>
      <c r="J1565" s="61"/>
      <c r="K1565" s="61"/>
      <c r="L1565" s="61"/>
      <c r="M1565" s="61"/>
      <c r="N1565" s="61"/>
      <c r="O1565" s="61"/>
      <c r="P1565" s="61"/>
      <c r="Q1565" s="61"/>
      <c r="R1565" s="61"/>
      <c r="S1565" s="61"/>
      <c r="T1565" s="61"/>
      <c r="U1565" s="61"/>
      <c r="V1565" s="61"/>
      <c r="W1565" s="61"/>
      <c r="X1565" s="61"/>
      <c r="Y1565" s="61"/>
      <c r="Z1565" s="61"/>
    </row>
    <row r="1566" spans="1:26" ht="13">
      <c r="A1566" s="61"/>
      <c r="B1566" s="61"/>
      <c r="C1566" s="61"/>
      <c r="D1566" s="61"/>
      <c r="E1566" s="61"/>
      <c r="F1566" s="61"/>
      <c r="G1566" s="179"/>
      <c r="H1566" s="61"/>
      <c r="I1566" s="61"/>
      <c r="J1566" s="61"/>
      <c r="K1566" s="61"/>
      <c r="L1566" s="61"/>
      <c r="M1566" s="61"/>
      <c r="N1566" s="61"/>
      <c r="O1566" s="61"/>
      <c r="P1566" s="61"/>
      <c r="Q1566" s="61"/>
      <c r="R1566" s="61"/>
      <c r="S1566" s="61"/>
      <c r="T1566" s="61"/>
      <c r="U1566" s="61"/>
      <c r="V1566" s="61"/>
      <c r="W1566" s="61"/>
      <c r="X1566" s="61"/>
      <c r="Y1566" s="61"/>
      <c r="Z1566" s="61"/>
    </row>
    <row r="1567" spans="1:26" ht="13">
      <c r="A1567" s="61"/>
      <c r="B1567" s="61"/>
      <c r="C1567" s="61"/>
      <c r="D1567" s="61"/>
      <c r="E1567" s="61"/>
      <c r="F1567" s="61"/>
      <c r="G1567" s="179"/>
      <c r="H1567" s="61"/>
      <c r="I1567" s="61"/>
      <c r="J1567" s="61"/>
      <c r="K1567" s="61"/>
      <c r="L1567" s="61"/>
      <c r="M1567" s="61"/>
      <c r="N1567" s="61"/>
      <c r="O1567" s="61"/>
      <c r="P1567" s="61"/>
      <c r="Q1567" s="61"/>
      <c r="R1567" s="61"/>
      <c r="S1567" s="61"/>
      <c r="T1567" s="61"/>
      <c r="U1567" s="61"/>
      <c r="V1567" s="61"/>
      <c r="W1567" s="61"/>
      <c r="X1567" s="61"/>
      <c r="Y1567" s="61"/>
      <c r="Z1567" s="61"/>
    </row>
    <row r="1568" spans="1:26" ht="13">
      <c r="A1568" s="61"/>
      <c r="B1568" s="61"/>
      <c r="C1568" s="61"/>
      <c r="D1568" s="61"/>
      <c r="E1568" s="61"/>
      <c r="F1568" s="61"/>
      <c r="G1568" s="179"/>
      <c r="H1568" s="61"/>
      <c r="I1568" s="61"/>
      <c r="J1568" s="61"/>
      <c r="K1568" s="61"/>
      <c r="L1568" s="61"/>
      <c r="M1568" s="61"/>
      <c r="N1568" s="61"/>
      <c r="O1568" s="61"/>
      <c r="P1568" s="61"/>
      <c r="Q1568" s="61"/>
      <c r="R1568" s="61"/>
      <c r="S1568" s="61"/>
      <c r="T1568" s="61"/>
      <c r="U1568" s="61"/>
      <c r="V1568" s="61"/>
      <c r="W1568" s="61"/>
      <c r="X1568" s="61"/>
      <c r="Y1568" s="61"/>
      <c r="Z1568" s="61"/>
    </row>
    <row r="1569" spans="1:26" ht="13">
      <c r="A1569" s="61"/>
      <c r="B1569" s="61"/>
      <c r="C1569" s="61"/>
      <c r="D1569" s="61"/>
      <c r="E1569" s="61"/>
      <c r="F1569" s="61"/>
      <c r="G1569" s="179"/>
      <c r="H1569" s="61"/>
      <c r="I1569" s="61"/>
      <c r="J1569" s="61"/>
      <c r="K1569" s="61"/>
      <c r="L1569" s="61"/>
      <c r="M1569" s="61"/>
      <c r="N1569" s="61"/>
      <c r="O1569" s="61"/>
      <c r="P1569" s="61"/>
      <c r="Q1569" s="61"/>
      <c r="R1569" s="61"/>
      <c r="S1569" s="61"/>
      <c r="T1569" s="61"/>
      <c r="U1569" s="61"/>
      <c r="V1569" s="61"/>
      <c r="W1569" s="61"/>
      <c r="X1569" s="61"/>
      <c r="Y1569" s="61"/>
      <c r="Z1569" s="61"/>
    </row>
    <row r="1570" spans="1:26" ht="13">
      <c r="A1570" s="61"/>
      <c r="B1570" s="61"/>
      <c r="C1570" s="61"/>
      <c r="D1570" s="61"/>
      <c r="E1570" s="61"/>
      <c r="F1570" s="61"/>
      <c r="G1570" s="179"/>
      <c r="H1570" s="61"/>
      <c r="I1570" s="61"/>
      <c r="J1570" s="61"/>
      <c r="K1570" s="61"/>
      <c r="L1570" s="61"/>
      <c r="M1570" s="61"/>
      <c r="N1570" s="61"/>
      <c r="O1570" s="61"/>
      <c r="P1570" s="61"/>
      <c r="Q1570" s="61"/>
      <c r="R1570" s="61"/>
      <c r="S1570" s="61"/>
      <c r="T1570" s="61"/>
      <c r="U1570" s="61"/>
      <c r="V1570" s="61"/>
      <c r="W1570" s="61"/>
      <c r="X1570" s="61"/>
      <c r="Y1570" s="61"/>
      <c r="Z1570" s="61"/>
    </row>
    <row r="1571" spans="1:26" ht="13">
      <c r="A1571" s="61"/>
      <c r="B1571" s="61"/>
      <c r="C1571" s="61"/>
      <c r="D1571" s="61"/>
      <c r="E1571" s="61"/>
      <c r="F1571" s="61"/>
      <c r="G1571" s="179"/>
      <c r="H1571" s="61"/>
      <c r="I1571" s="61"/>
      <c r="J1571" s="61"/>
      <c r="K1571" s="61"/>
      <c r="L1571" s="61"/>
      <c r="M1571" s="61"/>
      <c r="N1571" s="61"/>
      <c r="O1571" s="61"/>
      <c r="P1571" s="61"/>
      <c r="Q1571" s="61"/>
      <c r="R1571" s="61"/>
      <c r="S1571" s="61"/>
      <c r="T1571" s="61"/>
      <c r="U1571" s="61"/>
      <c r="V1571" s="61"/>
      <c r="W1571" s="61"/>
      <c r="X1571" s="61"/>
      <c r="Y1571" s="61"/>
      <c r="Z1571" s="61"/>
    </row>
    <row r="1572" spans="1:26" ht="13">
      <c r="A1572" s="61"/>
      <c r="B1572" s="61"/>
      <c r="C1572" s="61"/>
      <c r="D1572" s="61"/>
      <c r="E1572" s="61"/>
      <c r="F1572" s="61"/>
      <c r="G1572" s="179"/>
      <c r="H1572" s="61"/>
      <c r="I1572" s="61"/>
      <c r="J1572" s="61"/>
      <c r="K1572" s="61"/>
      <c r="L1572" s="61"/>
      <c r="M1572" s="61"/>
      <c r="N1572" s="61"/>
      <c r="O1572" s="61"/>
      <c r="P1572" s="61"/>
      <c r="Q1572" s="61"/>
      <c r="R1572" s="61"/>
      <c r="S1572" s="61"/>
      <c r="T1572" s="61"/>
      <c r="U1572" s="61"/>
      <c r="V1572" s="61"/>
      <c r="W1572" s="61"/>
      <c r="X1572" s="61"/>
      <c r="Y1572" s="61"/>
      <c r="Z1572" s="61"/>
    </row>
    <row r="1573" spans="1:26" ht="13">
      <c r="A1573" s="61"/>
      <c r="B1573" s="61"/>
      <c r="C1573" s="61"/>
      <c r="D1573" s="61"/>
      <c r="E1573" s="61"/>
      <c r="F1573" s="61"/>
      <c r="G1573" s="179"/>
      <c r="H1573" s="61"/>
      <c r="I1573" s="61"/>
      <c r="J1573" s="61"/>
      <c r="K1573" s="61"/>
      <c r="L1573" s="61"/>
      <c r="M1573" s="61"/>
      <c r="N1573" s="61"/>
      <c r="O1573" s="61"/>
      <c r="P1573" s="61"/>
      <c r="Q1573" s="61"/>
      <c r="R1573" s="61"/>
      <c r="S1573" s="61"/>
      <c r="T1573" s="61"/>
      <c r="U1573" s="61"/>
      <c r="V1573" s="61"/>
      <c r="W1573" s="61"/>
      <c r="X1573" s="61"/>
      <c r="Y1573" s="61"/>
      <c r="Z1573" s="61"/>
    </row>
    <row r="1574" spans="1:26" ht="13">
      <c r="A1574" s="61"/>
      <c r="B1574" s="61"/>
      <c r="C1574" s="61"/>
      <c r="D1574" s="61"/>
      <c r="E1574" s="61"/>
      <c r="F1574" s="61"/>
      <c r="G1574" s="179"/>
      <c r="H1574" s="61"/>
      <c r="I1574" s="61"/>
      <c r="J1574" s="61"/>
      <c r="K1574" s="61"/>
      <c r="L1574" s="61"/>
      <c r="M1574" s="61"/>
      <c r="N1574" s="61"/>
      <c r="O1574" s="61"/>
      <c r="P1574" s="61"/>
      <c r="Q1574" s="61"/>
      <c r="R1574" s="61"/>
      <c r="S1574" s="61"/>
      <c r="T1574" s="61"/>
      <c r="U1574" s="61"/>
      <c r="V1574" s="61"/>
      <c r="W1574" s="61"/>
      <c r="X1574" s="61"/>
      <c r="Y1574" s="61"/>
      <c r="Z1574" s="61"/>
    </row>
    <row r="1575" spans="1:26" ht="13">
      <c r="A1575" s="61"/>
      <c r="B1575" s="61"/>
      <c r="C1575" s="61"/>
      <c r="D1575" s="61"/>
      <c r="E1575" s="61"/>
      <c r="F1575" s="61"/>
      <c r="G1575" s="179"/>
      <c r="H1575" s="61"/>
      <c r="I1575" s="61"/>
      <c r="J1575" s="61"/>
      <c r="K1575" s="61"/>
      <c r="L1575" s="61"/>
      <c r="M1575" s="61"/>
      <c r="N1575" s="61"/>
      <c r="O1575" s="61"/>
      <c r="P1575" s="61"/>
      <c r="Q1575" s="61"/>
      <c r="R1575" s="61"/>
      <c r="S1575" s="61"/>
      <c r="T1575" s="61"/>
      <c r="U1575" s="61"/>
      <c r="V1575" s="61"/>
      <c r="W1575" s="61"/>
      <c r="X1575" s="61"/>
      <c r="Y1575" s="61"/>
      <c r="Z1575" s="61"/>
    </row>
    <row r="1576" spans="1:26" ht="13">
      <c r="A1576" s="61"/>
      <c r="B1576" s="61"/>
      <c r="C1576" s="61"/>
      <c r="D1576" s="61"/>
      <c r="E1576" s="61"/>
      <c r="F1576" s="61"/>
      <c r="G1576" s="179"/>
      <c r="H1576" s="61"/>
      <c r="I1576" s="61"/>
      <c r="J1576" s="61"/>
      <c r="K1576" s="61"/>
      <c r="L1576" s="61"/>
      <c r="M1576" s="61"/>
      <c r="N1576" s="61"/>
      <c r="O1576" s="61"/>
      <c r="P1576" s="61"/>
      <c r="Q1576" s="61"/>
      <c r="R1576" s="61"/>
      <c r="S1576" s="61"/>
      <c r="T1576" s="61"/>
      <c r="U1576" s="61"/>
      <c r="V1576" s="61"/>
      <c r="W1576" s="61"/>
      <c r="X1576" s="61"/>
      <c r="Y1576" s="61"/>
      <c r="Z1576" s="61"/>
    </row>
    <row r="1577" spans="1:26" ht="13">
      <c r="A1577" s="61"/>
      <c r="B1577" s="61"/>
      <c r="C1577" s="61"/>
      <c r="D1577" s="61"/>
      <c r="E1577" s="61"/>
      <c r="F1577" s="61"/>
      <c r="G1577" s="179"/>
      <c r="H1577" s="61"/>
      <c r="I1577" s="61"/>
      <c r="J1577" s="61"/>
      <c r="K1577" s="61"/>
      <c r="L1577" s="61"/>
      <c r="M1577" s="61"/>
      <c r="N1577" s="61"/>
      <c r="O1577" s="61"/>
      <c r="P1577" s="61"/>
      <c r="Q1577" s="61"/>
      <c r="R1577" s="61"/>
      <c r="S1577" s="61"/>
      <c r="T1577" s="61"/>
      <c r="U1577" s="61"/>
      <c r="V1577" s="61"/>
      <c r="W1577" s="61"/>
      <c r="X1577" s="61"/>
      <c r="Y1577" s="61"/>
      <c r="Z1577" s="61"/>
    </row>
    <row r="1578" spans="1:26" ht="13">
      <c r="A1578" s="61"/>
      <c r="B1578" s="61"/>
      <c r="C1578" s="61"/>
      <c r="D1578" s="61"/>
      <c r="E1578" s="61"/>
      <c r="F1578" s="61"/>
      <c r="G1578" s="179"/>
      <c r="H1578" s="61"/>
      <c r="I1578" s="61"/>
      <c r="J1578" s="61"/>
      <c r="K1578" s="61"/>
      <c r="L1578" s="61"/>
      <c r="M1578" s="61"/>
      <c r="N1578" s="61"/>
      <c r="O1578" s="61"/>
      <c r="P1578" s="61"/>
      <c r="Q1578" s="61"/>
      <c r="R1578" s="61"/>
      <c r="S1578" s="61"/>
      <c r="T1578" s="61"/>
      <c r="U1578" s="61"/>
      <c r="V1578" s="61"/>
      <c r="W1578" s="61"/>
      <c r="X1578" s="61"/>
      <c r="Y1578" s="61"/>
      <c r="Z1578" s="61"/>
    </row>
    <row r="1579" spans="1:26" ht="13">
      <c r="A1579" s="61"/>
      <c r="B1579" s="61"/>
      <c r="C1579" s="61"/>
      <c r="D1579" s="61"/>
      <c r="E1579" s="61"/>
      <c r="F1579" s="61"/>
      <c r="G1579" s="179"/>
      <c r="H1579" s="61"/>
      <c r="I1579" s="61"/>
      <c r="J1579" s="61"/>
      <c r="K1579" s="61"/>
      <c r="L1579" s="61"/>
      <c r="M1579" s="61"/>
      <c r="N1579" s="61"/>
      <c r="O1579" s="61"/>
      <c r="P1579" s="61"/>
      <c r="Q1579" s="61"/>
      <c r="R1579" s="61"/>
      <c r="S1579" s="61"/>
      <c r="T1579" s="61"/>
      <c r="U1579" s="61"/>
      <c r="V1579" s="61"/>
      <c r="W1579" s="61"/>
      <c r="X1579" s="61"/>
      <c r="Y1579" s="61"/>
      <c r="Z1579" s="61"/>
    </row>
    <row r="1580" spans="1:26" ht="13">
      <c r="A1580" s="61"/>
      <c r="B1580" s="61"/>
      <c r="C1580" s="61"/>
      <c r="D1580" s="61"/>
      <c r="E1580" s="61"/>
      <c r="F1580" s="61"/>
      <c r="G1580" s="179"/>
      <c r="H1580" s="61"/>
      <c r="I1580" s="61"/>
      <c r="J1580" s="61"/>
      <c r="K1580" s="61"/>
      <c r="L1580" s="61"/>
      <c r="M1580" s="61"/>
      <c r="N1580" s="61"/>
      <c r="O1580" s="61"/>
      <c r="P1580" s="61"/>
      <c r="Q1580" s="61"/>
      <c r="R1580" s="61"/>
      <c r="S1580" s="61"/>
      <c r="T1580" s="61"/>
      <c r="U1580" s="61"/>
      <c r="V1580" s="61"/>
      <c r="W1580" s="61"/>
      <c r="X1580" s="61"/>
      <c r="Y1580" s="61"/>
      <c r="Z1580" s="61"/>
    </row>
    <row r="1581" spans="1:26" ht="13">
      <c r="A1581" s="61"/>
      <c r="B1581" s="61"/>
      <c r="C1581" s="61"/>
      <c r="D1581" s="61"/>
      <c r="E1581" s="61"/>
      <c r="F1581" s="61"/>
      <c r="G1581" s="179"/>
      <c r="H1581" s="61"/>
      <c r="I1581" s="61"/>
      <c r="J1581" s="61"/>
      <c r="K1581" s="61"/>
      <c r="L1581" s="61"/>
      <c r="M1581" s="61"/>
      <c r="N1581" s="61"/>
      <c r="O1581" s="61"/>
      <c r="P1581" s="61"/>
      <c r="Q1581" s="61"/>
      <c r="R1581" s="61"/>
      <c r="S1581" s="61"/>
      <c r="T1581" s="61"/>
      <c r="U1581" s="61"/>
      <c r="V1581" s="61"/>
      <c r="W1581" s="61"/>
      <c r="X1581" s="61"/>
      <c r="Y1581" s="61"/>
      <c r="Z1581" s="61"/>
    </row>
    <row r="1582" spans="1:26" ht="13">
      <c r="A1582" s="61"/>
      <c r="B1582" s="61"/>
      <c r="C1582" s="61"/>
      <c r="D1582" s="61"/>
      <c r="E1582" s="61"/>
      <c r="F1582" s="61"/>
      <c r="G1582" s="179"/>
      <c r="H1582" s="61"/>
      <c r="I1582" s="61"/>
      <c r="J1582" s="61"/>
      <c r="K1582" s="61"/>
      <c r="L1582" s="61"/>
      <c r="M1582" s="61"/>
      <c r="N1582" s="61"/>
      <c r="O1582" s="61"/>
      <c r="P1582" s="61"/>
      <c r="Q1582" s="61"/>
      <c r="R1582" s="61"/>
      <c r="S1582" s="61"/>
      <c r="T1582" s="61"/>
      <c r="U1582" s="61"/>
      <c r="V1582" s="61"/>
      <c r="W1582" s="61"/>
      <c r="X1582" s="61"/>
      <c r="Y1582" s="61"/>
      <c r="Z1582" s="61"/>
    </row>
    <row r="1583" spans="1:26" ht="13">
      <c r="A1583" s="61"/>
      <c r="B1583" s="61"/>
      <c r="C1583" s="61"/>
      <c r="D1583" s="61"/>
      <c r="E1583" s="61"/>
      <c r="F1583" s="61"/>
      <c r="G1583" s="179"/>
      <c r="H1583" s="61"/>
      <c r="I1583" s="61"/>
      <c r="J1583" s="61"/>
      <c r="K1583" s="61"/>
      <c r="L1583" s="61"/>
      <c r="M1583" s="61"/>
      <c r="N1583" s="61"/>
      <c r="O1583" s="61"/>
      <c r="P1583" s="61"/>
      <c r="Q1583" s="61"/>
      <c r="R1583" s="61"/>
      <c r="S1583" s="61"/>
      <c r="T1583" s="61"/>
      <c r="U1583" s="61"/>
      <c r="V1583" s="61"/>
      <c r="W1583" s="61"/>
      <c r="X1583" s="61"/>
      <c r="Y1583" s="61"/>
      <c r="Z1583" s="61"/>
    </row>
    <row r="1584" spans="1:26" ht="13">
      <c r="A1584" s="61"/>
      <c r="B1584" s="61"/>
      <c r="C1584" s="61"/>
      <c r="D1584" s="61"/>
      <c r="E1584" s="61"/>
      <c r="F1584" s="61"/>
      <c r="G1584" s="179"/>
      <c r="H1584" s="61"/>
      <c r="I1584" s="61"/>
      <c r="J1584" s="61"/>
      <c r="K1584" s="61"/>
      <c r="L1584" s="61"/>
      <c r="M1584" s="61"/>
      <c r="N1584" s="61"/>
      <c r="O1584" s="61"/>
      <c r="P1584" s="61"/>
      <c r="Q1584" s="61"/>
      <c r="R1584" s="61"/>
      <c r="S1584" s="61"/>
      <c r="T1584" s="61"/>
      <c r="U1584" s="61"/>
      <c r="V1584" s="61"/>
      <c r="W1584" s="61"/>
      <c r="X1584" s="61"/>
      <c r="Y1584" s="61"/>
      <c r="Z1584" s="61"/>
    </row>
    <row r="1585" spans="1:26" ht="13">
      <c r="A1585" s="61"/>
      <c r="B1585" s="61"/>
      <c r="C1585" s="61"/>
      <c r="D1585" s="61"/>
      <c r="E1585" s="61"/>
      <c r="F1585" s="61"/>
      <c r="G1585" s="179"/>
      <c r="H1585" s="61"/>
      <c r="I1585" s="61"/>
      <c r="J1585" s="61"/>
      <c r="K1585" s="61"/>
      <c r="L1585" s="61"/>
      <c r="M1585" s="61"/>
      <c r="N1585" s="61"/>
      <c r="O1585" s="61"/>
      <c r="P1585" s="61"/>
      <c r="Q1585" s="61"/>
      <c r="R1585" s="61"/>
      <c r="S1585" s="61"/>
      <c r="T1585" s="61"/>
      <c r="U1585" s="61"/>
      <c r="V1585" s="61"/>
      <c r="W1585" s="61"/>
      <c r="X1585" s="61"/>
      <c r="Y1585" s="61"/>
      <c r="Z1585" s="61"/>
    </row>
    <row r="1586" spans="1:26" ht="13">
      <c r="A1586" s="61"/>
      <c r="B1586" s="61"/>
      <c r="C1586" s="61"/>
      <c r="D1586" s="61"/>
      <c r="E1586" s="61"/>
      <c r="F1586" s="61"/>
      <c r="G1586" s="179"/>
      <c r="H1586" s="61"/>
      <c r="I1586" s="61"/>
      <c r="J1586" s="61"/>
      <c r="K1586" s="61"/>
      <c r="L1586" s="61"/>
      <c r="M1586" s="61"/>
      <c r="N1586" s="61"/>
      <c r="O1586" s="61"/>
      <c r="P1586" s="61"/>
      <c r="Q1586" s="61"/>
      <c r="R1586" s="61"/>
      <c r="S1586" s="61"/>
      <c r="T1586" s="61"/>
      <c r="U1586" s="61"/>
      <c r="V1586" s="61"/>
      <c r="W1586" s="61"/>
      <c r="X1586" s="61"/>
      <c r="Y1586" s="61"/>
      <c r="Z1586" s="61"/>
    </row>
    <row r="1587" spans="1:26" ht="13">
      <c r="A1587" s="61"/>
      <c r="B1587" s="61"/>
      <c r="C1587" s="61"/>
      <c r="D1587" s="61"/>
      <c r="E1587" s="61"/>
      <c r="F1587" s="61"/>
      <c r="G1587" s="179"/>
      <c r="H1587" s="61"/>
      <c r="I1587" s="61"/>
      <c r="J1587" s="61"/>
      <c r="K1587" s="61"/>
      <c r="L1587" s="61"/>
      <c r="M1587" s="61"/>
      <c r="N1587" s="61"/>
      <c r="O1587" s="61"/>
      <c r="P1587" s="61"/>
      <c r="Q1587" s="61"/>
      <c r="R1587" s="61"/>
      <c r="S1587" s="61"/>
      <c r="T1587" s="61"/>
      <c r="U1587" s="61"/>
      <c r="V1587" s="61"/>
      <c r="W1587" s="61"/>
      <c r="X1587" s="61"/>
      <c r="Y1587" s="61"/>
      <c r="Z1587" s="61"/>
    </row>
    <row r="1588" spans="1:26" ht="13">
      <c r="A1588" s="61"/>
      <c r="B1588" s="61"/>
      <c r="C1588" s="61"/>
      <c r="D1588" s="61"/>
      <c r="E1588" s="61"/>
      <c r="F1588" s="61"/>
      <c r="G1588" s="179"/>
      <c r="H1588" s="61"/>
      <c r="I1588" s="61"/>
      <c r="J1588" s="61"/>
      <c r="K1588" s="61"/>
      <c r="L1588" s="61"/>
      <c r="M1588" s="61"/>
      <c r="N1588" s="61"/>
      <c r="O1588" s="61"/>
      <c r="P1588" s="61"/>
      <c r="Q1588" s="61"/>
      <c r="R1588" s="61"/>
      <c r="S1588" s="61"/>
      <c r="T1588" s="61"/>
      <c r="U1588" s="61"/>
      <c r="V1588" s="61"/>
      <c r="W1588" s="61"/>
      <c r="X1588" s="61"/>
      <c r="Y1588" s="61"/>
      <c r="Z1588" s="61"/>
    </row>
    <row r="1589" spans="1:26" ht="13">
      <c r="A1589" s="61"/>
      <c r="B1589" s="61"/>
      <c r="C1589" s="61"/>
      <c r="D1589" s="61"/>
      <c r="E1589" s="61"/>
      <c r="F1589" s="61"/>
      <c r="G1589" s="179"/>
      <c r="H1589" s="61"/>
      <c r="I1589" s="61"/>
      <c r="J1589" s="61"/>
      <c r="K1589" s="61"/>
      <c r="L1589" s="61"/>
      <c r="M1589" s="61"/>
      <c r="N1589" s="61"/>
      <c r="O1589" s="61"/>
      <c r="P1589" s="61"/>
      <c r="Q1589" s="61"/>
      <c r="R1589" s="61"/>
      <c r="S1589" s="61"/>
      <c r="T1589" s="61"/>
      <c r="U1589" s="61"/>
      <c r="V1589" s="61"/>
      <c r="W1589" s="61"/>
      <c r="X1589" s="61"/>
      <c r="Y1589" s="61"/>
      <c r="Z1589" s="61"/>
    </row>
    <row r="1590" spans="1:26" ht="13">
      <c r="A1590" s="61"/>
      <c r="B1590" s="61"/>
      <c r="C1590" s="61"/>
      <c r="D1590" s="61"/>
      <c r="E1590" s="61"/>
      <c r="F1590" s="61"/>
      <c r="G1590" s="179"/>
      <c r="H1590" s="61"/>
      <c r="I1590" s="61"/>
      <c r="J1590" s="61"/>
      <c r="K1590" s="61"/>
      <c r="L1590" s="61"/>
      <c r="M1590" s="61"/>
      <c r="N1590" s="61"/>
      <c r="O1590" s="61"/>
      <c r="P1590" s="61"/>
      <c r="Q1590" s="61"/>
      <c r="R1590" s="61"/>
      <c r="S1590" s="61"/>
      <c r="T1590" s="61"/>
      <c r="U1590" s="61"/>
      <c r="V1590" s="61"/>
      <c r="W1590" s="61"/>
      <c r="X1590" s="61"/>
      <c r="Y1590" s="61"/>
      <c r="Z1590" s="61"/>
    </row>
    <row r="1591" spans="1:26" ht="13">
      <c r="A1591" s="61"/>
      <c r="B1591" s="61"/>
      <c r="C1591" s="61"/>
      <c r="D1591" s="61"/>
      <c r="E1591" s="61"/>
      <c r="F1591" s="61"/>
      <c r="G1591" s="179"/>
      <c r="H1591" s="61"/>
      <c r="I1591" s="61"/>
      <c r="J1591" s="61"/>
      <c r="K1591" s="61"/>
      <c r="L1591" s="61"/>
      <c r="M1591" s="61"/>
      <c r="N1591" s="61"/>
      <c r="O1591" s="61"/>
      <c r="P1591" s="61"/>
      <c r="Q1591" s="61"/>
      <c r="R1591" s="61"/>
      <c r="S1591" s="61"/>
      <c r="T1591" s="61"/>
      <c r="U1591" s="61"/>
      <c r="V1591" s="61"/>
      <c r="W1591" s="61"/>
      <c r="X1591" s="61"/>
      <c r="Y1591" s="61"/>
      <c r="Z1591" s="61"/>
    </row>
    <row r="1592" spans="1:26" ht="13">
      <c r="A1592" s="61"/>
      <c r="B1592" s="61"/>
      <c r="C1592" s="61"/>
      <c r="D1592" s="61"/>
      <c r="E1592" s="61"/>
      <c r="F1592" s="61"/>
      <c r="G1592" s="179"/>
      <c r="H1592" s="61"/>
      <c r="I1592" s="61"/>
      <c r="J1592" s="61"/>
      <c r="K1592" s="61"/>
      <c r="L1592" s="61"/>
      <c r="M1592" s="61"/>
      <c r="N1592" s="61"/>
      <c r="O1592" s="61"/>
      <c r="P1592" s="61"/>
      <c r="Q1592" s="61"/>
      <c r="R1592" s="61"/>
      <c r="S1592" s="61"/>
      <c r="T1592" s="61"/>
      <c r="U1592" s="61"/>
      <c r="V1592" s="61"/>
      <c r="W1592" s="61"/>
      <c r="X1592" s="61"/>
      <c r="Y1592" s="61"/>
      <c r="Z1592" s="61"/>
    </row>
    <row r="1593" spans="1:26" ht="13">
      <c r="A1593" s="61"/>
      <c r="B1593" s="61"/>
      <c r="C1593" s="61"/>
      <c r="D1593" s="61"/>
      <c r="E1593" s="61"/>
      <c r="F1593" s="61"/>
      <c r="G1593" s="179"/>
      <c r="H1593" s="61"/>
      <c r="I1593" s="61"/>
      <c r="J1593" s="61"/>
      <c r="K1593" s="61"/>
      <c r="L1593" s="61"/>
      <c r="M1593" s="61"/>
      <c r="N1593" s="61"/>
      <c r="O1593" s="61"/>
      <c r="P1593" s="61"/>
      <c r="Q1593" s="61"/>
      <c r="R1593" s="61"/>
      <c r="S1593" s="61"/>
      <c r="T1593" s="61"/>
      <c r="U1593" s="61"/>
      <c r="V1593" s="61"/>
      <c r="W1593" s="61"/>
      <c r="X1593" s="61"/>
      <c r="Y1593" s="61"/>
      <c r="Z1593" s="61"/>
    </row>
    <row r="1594" spans="1:26" ht="13">
      <c r="A1594" s="61"/>
      <c r="B1594" s="61"/>
      <c r="C1594" s="61"/>
      <c r="D1594" s="61"/>
      <c r="E1594" s="61"/>
      <c r="F1594" s="61"/>
      <c r="G1594" s="179"/>
      <c r="H1594" s="61"/>
      <c r="I1594" s="61"/>
      <c r="J1594" s="61"/>
      <c r="K1594" s="61"/>
      <c r="L1594" s="61"/>
      <c r="M1594" s="61"/>
      <c r="N1594" s="61"/>
      <c r="O1594" s="61"/>
      <c r="P1594" s="61"/>
      <c r="Q1594" s="61"/>
      <c r="R1594" s="61"/>
      <c r="S1594" s="61"/>
      <c r="T1594" s="61"/>
      <c r="U1594" s="61"/>
      <c r="V1594" s="61"/>
      <c r="W1594" s="61"/>
      <c r="X1594" s="61"/>
      <c r="Y1594" s="61"/>
      <c r="Z1594" s="61"/>
    </row>
    <row r="1595" spans="1:26" ht="13">
      <c r="A1595" s="61"/>
      <c r="B1595" s="61"/>
      <c r="C1595" s="61"/>
      <c r="D1595" s="61"/>
      <c r="E1595" s="61"/>
      <c r="F1595" s="61"/>
      <c r="G1595" s="179"/>
      <c r="H1595" s="61"/>
      <c r="I1595" s="61"/>
      <c r="J1595" s="61"/>
      <c r="K1595" s="61"/>
      <c r="L1595" s="61"/>
      <c r="M1595" s="61"/>
      <c r="N1595" s="61"/>
      <c r="O1595" s="61"/>
      <c r="P1595" s="61"/>
      <c r="Q1595" s="61"/>
      <c r="R1595" s="61"/>
      <c r="S1595" s="61"/>
      <c r="T1595" s="61"/>
      <c r="U1595" s="61"/>
      <c r="V1595" s="61"/>
      <c r="W1595" s="61"/>
      <c r="X1595" s="61"/>
      <c r="Y1595" s="61"/>
      <c r="Z1595" s="61"/>
    </row>
    <row r="1596" spans="1:26" ht="13">
      <c r="A1596" s="61"/>
      <c r="B1596" s="61"/>
      <c r="C1596" s="61"/>
      <c r="D1596" s="61"/>
      <c r="E1596" s="61"/>
      <c r="F1596" s="61"/>
      <c r="G1596" s="179"/>
      <c r="H1596" s="61"/>
      <c r="I1596" s="61"/>
      <c r="J1596" s="61"/>
      <c r="K1596" s="61"/>
      <c r="L1596" s="61"/>
      <c r="M1596" s="61"/>
      <c r="N1596" s="61"/>
      <c r="O1596" s="61"/>
      <c r="P1596" s="61"/>
      <c r="Q1596" s="61"/>
      <c r="R1596" s="61"/>
      <c r="S1596" s="61"/>
      <c r="T1596" s="61"/>
      <c r="U1596" s="61"/>
      <c r="V1596" s="61"/>
      <c r="W1596" s="61"/>
      <c r="X1596" s="61"/>
      <c r="Y1596" s="61"/>
      <c r="Z1596" s="61"/>
    </row>
    <row r="1597" spans="1:26" ht="13">
      <c r="A1597" s="61"/>
      <c r="B1597" s="61"/>
      <c r="C1597" s="61"/>
      <c r="D1597" s="61"/>
      <c r="E1597" s="61"/>
      <c r="F1597" s="61"/>
      <c r="G1597" s="179"/>
      <c r="H1597" s="61"/>
      <c r="I1597" s="61"/>
      <c r="J1597" s="61"/>
      <c r="K1597" s="61"/>
      <c r="L1597" s="61"/>
      <c r="M1597" s="61"/>
      <c r="N1597" s="61"/>
      <c r="O1597" s="61"/>
      <c r="P1597" s="61"/>
      <c r="Q1597" s="61"/>
      <c r="R1597" s="61"/>
      <c r="S1597" s="61"/>
      <c r="T1597" s="61"/>
      <c r="U1597" s="61"/>
      <c r="V1597" s="61"/>
      <c r="W1597" s="61"/>
      <c r="X1597" s="61"/>
      <c r="Y1597" s="61"/>
      <c r="Z1597" s="61"/>
    </row>
    <row r="1598" spans="1:26" ht="13">
      <c r="A1598" s="61"/>
      <c r="B1598" s="61"/>
      <c r="C1598" s="61"/>
      <c r="D1598" s="61"/>
      <c r="E1598" s="61"/>
      <c r="F1598" s="61"/>
      <c r="G1598" s="179"/>
      <c r="H1598" s="61"/>
      <c r="I1598" s="61"/>
      <c r="J1598" s="61"/>
      <c r="K1598" s="61"/>
      <c r="L1598" s="61"/>
      <c r="M1598" s="61"/>
      <c r="N1598" s="61"/>
      <c r="O1598" s="61"/>
      <c r="P1598" s="61"/>
      <c r="Q1598" s="61"/>
      <c r="R1598" s="61"/>
      <c r="S1598" s="61"/>
      <c r="T1598" s="61"/>
      <c r="U1598" s="61"/>
      <c r="V1598" s="61"/>
      <c r="W1598" s="61"/>
      <c r="X1598" s="61"/>
      <c r="Y1598" s="61"/>
      <c r="Z1598" s="61"/>
    </row>
    <row r="1599" spans="1:26" ht="13">
      <c r="A1599" s="61"/>
      <c r="B1599" s="61"/>
      <c r="C1599" s="61"/>
      <c r="D1599" s="61"/>
      <c r="E1599" s="61"/>
      <c r="F1599" s="61"/>
      <c r="G1599" s="179"/>
      <c r="H1599" s="61"/>
      <c r="I1599" s="61"/>
      <c r="J1599" s="61"/>
      <c r="K1599" s="61"/>
      <c r="L1599" s="61"/>
      <c r="M1599" s="61"/>
      <c r="N1599" s="61"/>
      <c r="O1599" s="61"/>
      <c r="P1599" s="61"/>
      <c r="Q1599" s="61"/>
      <c r="R1599" s="61"/>
      <c r="S1599" s="61"/>
      <c r="T1599" s="61"/>
      <c r="U1599" s="61"/>
      <c r="V1599" s="61"/>
      <c r="W1599" s="61"/>
      <c r="X1599" s="61"/>
      <c r="Y1599" s="61"/>
      <c r="Z1599" s="61"/>
    </row>
    <row r="1600" spans="1:26" ht="13">
      <c r="A1600" s="61"/>
      <c r="B1600" s="61"/>
      <c r="C1600" s="61"/>
      <c r="D1600" s="61"/>
      <c r="E1600" s="61"/>
      <c r="F1600" s="61"/>
      <c r="G1600" s="179"/>
      <c r="H1600" s="61"/>
      <c r="I1600" s="61"/>
      <c r="J1600" s="61"/>
      <c r="K1600" s="61"/>
      <c r="L1600" s="61"/>
      <c r="M1600" s="61"/>
      <c r="N1600" s="61"/>
      <c r="O1600" s="61"/>
      <c r="P1600" s="61"/>
      <c r="Q1600" s="61"/>
      <c r="R1600" s="61"/>
      <c r="S1600" s="61"/>
      <c r="T1600" s="61"/>
      <c r="U1600" s="61"/>
      <c r="V1600" s="61"/>
      <c r="W1600" s="61"/>
      <c r="X1600" s="61"/>
      <c r="Y1600" s="61"/>
      <c r="Z1600" s="61"/>
    </row>
    <row r="1601" spans="1:26" ht="13">
      <c r="A1601" s="61"/>
      <c r="B1601" s="61"/>
      <c r="C1601" s="61"/>
      <c r="D1601" s="61"/>
      <c r="E1601" s="61"/>
      <c r="F1601" s="61"/>
      <c r="G1601" s="179"/>
      <c r="H1601" s="61"/>
      <c r="I1601" s="61"/>
      <c r="J1601" s="61"/>
      <c r="K1601" s="61"/>
      <c r="L1601" s="61"/>
      <c r="M1601" s="61"/>
      <c r="N1601" s="61"/>
      <c r="O1601" s="61"/>
      <c r="P1601" s="61"/>
      <c r="Q1601" s="61"/>
      <c r="R1601" s="61"/>
      <c r="S1601" s="61"/>
      <c r="T1601" s="61"/>
      <c r="U1601" s="61"/>
      <c r="V1601" s="61"/>
      <c r="W1601" s="61"/>
      <c r="X1601" s="61"/>
      <c r="Y1601" s="61"/>
      <c r="Z1601" s="61"/>
    </row>
    <row r="1602" spans="1:26" ht="13">
      <c r="A1602" s="61"/>
      <c r="B1602" s="61"/>
      <c r="C1602" s="61"/>
      <c r="D1602" s="61"/>
      <c r="E1602" s="61"/>
      <c r="F1602" s="61"/>
      <c r="G1602" s="179"/>
      <c r="H1602" s="61"/>
      <c r="I1602" s="61"/>
      <c r="J1602" s="61"/>
      <c r="K1602" s="61"/>
      <c r="L1602" s="61"/>
      <c r="M1602" s="61"/>
      <c r="N1602" s="61"/>
      <c r="O1602" s="61"/>
      <c r="P1602" s="61"/>
      <c r="Q1602" s="61"/>
      <c r="R1602" s="61"/>
      <c r="S1602" s="61"/>
      <c r="T1602" s="61"/>
      <c r="U1602" s="61"/>
      <c r="V1602" s="61"/>
      <c r="W1602" s="61"/>
      <c r="X1602" s="61"/>
      <c r="Y1602" s="61"/>
      <c r="Z1602" s="61"/>
    </row>
    <row r="1603" spans="1:26" ht="13">
      <c r="A1603" s="61"/>
      <c r="B1603" s="61"/>
      <c r="C1603" s="61"/>
      <c r="D1603" s="61"/>
      <c r="E1603" s="61"/>
      <c r="F1603" s="61"/>
      <c r="G1603" s="179"/>
      <c r="H1603" s="61"/>
      <c r="I1603" s="61"/>
      <c r="J1603" s="61"/>
      <c r="K1603" s="61"/>
      <c r="L1603" s="61"/>
      <c r="M1603" s="61"/>
      <c r="N1603" s="61"/>
      <c r="O1603" s="61"/>
      <c r="P1603" s="61"/>
      <c r="Q1603" s="61"/>
      <c r="R1603" s="61"/>
      <c r="S1603" s="61"/>
      <c r="T1603" s="61"/>
      <c r="U1603" s="61"/>
      <c r="V1603" s="61"/>
      <c r="W1603" s="61"/>
      <c r="X1603" s="61"/>
      <c r="Y1603" s="61"/>
      <c r="Z1603" s="61"/>
    </row>
    <row r="1604" spans="1:26" ht="13">
      <c r="A1604" s="61"/>
      <c r="B1604" s="61"/>
      <c r="C1604" s="61"/>
      <c r="D1604" s="61"/>
      <c r="E1604" s="61"/>
      <c r="F1604" s="61"/>
      <c r="G1604" s="179"/>
      <c r="H1604" s="61"/>
      <c r="I1604" s="61"/>
      <c r="J1604" s="61"/>
      <c r="K1604" s="61"/>
      <c r="L1604" s="61"/>
      <c r="M1604" s="61"/>
      <c r="N1604" s="61"/>
      <c r="O1604" s="61"/>
      <c r="P1604" s="61"/>
      <c r="Q1604" s="61"/>
      <c r="R1604" s="61"/>
      <c r="S1604" s="61"/>
      <c r="T1604" s="61"/>
      <c r="U1604" s="61"/>
      <c r="V1604" s="61"/>
      <c r="W1604" s="61"/>
      <c r="X1604" s="61"/>
      <c r="Y1604" s="61"/>
      <c r="Z1604" s="61"/>
    </row>
    <row r="1605" spans="1:26" ht="13">
      <c r="A1605" s="61"/>
      <c r="B1605" s="61"/>
      <c r="C1605" s="61"/>
      <c r="D1605" s="61"/>
      <c r="E1605" s="61"/>
      <c r="F1605" s="61"/>
      <c r="G1605" s="179"/>
      <c r="H1605" s="61"/>
      <c r="I1605" s="61"/>
      <c r="J1605" s="61"/>
      <c r="K1605" s="61"/>
      <c r="L1605" s="61"/>
      <c r="M1605" s="61"/>
      <c r="N1605" s="61"/>
      <c r="O1605" s="61"/>
      <c r="P1605" s="61"/>
      <c r="Q1605" s="61"/>
      <c r="R1605" s="61"/>
      <c r="S1605" s="61"/>
      <c r="T1605" s="61"/>
      <c r="U1605" s="61"/>
      <c r="V1605" s="61"/>
      <c r="W1605" s="61"/>
      <c r="X1605" s="61"/>
      <c r="Y1605" s="61"/>
      <c r="Z1605" s="61"/>
    </row>
    <row r="1606" spans="1:26" ht="13">
      <c r="A1606" s="61"/>
      <c r="B1606" s="61"/>
      <c r="C1606" s="61"/>
      <c r="D1606" s="61"/>
      <c r="E1606" s="61"/>
      <c r="F1606" s="61"/>
      <c r="G1606" s="179"/>
      <c r="H1606" s="61"/>
      <c r="I1606" s="61"/>
      <c r="J1606" s="61"/>
      <c r="K1606" s="61"/>
      <c r="L1606" s="61"/>
      <c r="M1606" s="61"/>
      <c r="N1606" s="61"/>
      <c r="O1606" s="61"/>
      <c r="P1606" s="61"/>
      <c r="Q1606" s="61"/>
      <c r="R1606" s="61"/>
      <c r="S1606" s="61"/>
      <c r="T1606" s="61"/>
      <c r="U1606" s="61"/>
      <c r="V1606" s="61"/>
      <c r="W1606" s="61"/>
      <c r="X1606" s="61"/>
      <c r="Y1606" s="61"/>
      <c r="Z1606" s="61"/>
    </row>
    <row r="1607" spans="1:26" ht="13">
      <c r="A1607" s="61"/>
      <c r="B1607" s="61"/>
      <c r="C1607" s="61"/>
      <c r="D1607" s="61"/>
      <c r="E1607" s="61"/>
      <c r="F1607" s="61"/>
      <c r="G1607" s="179"/>
      <c r="H1607" s="61"/>
      <c r="I1607" s="61"/>
      <c r="J1607" s="61"/>
      <c r="K1607" s="61"/>
      <c r="L1607" s="61"/>
      <c r="M1607" s="61"/>
      <c r="N1607" s="61"/>
      <c r="O1607" s="61"/>
      <c r="P1607" s="61"/>
      <c r="Q1607" s="61"/>
      <c r="R1607" s="61"/>
      <c r="S1607" s="61"/>
      <c r="T1607" s="61"/>
      <c r="U1607" s="61"/>
      <c r="V1607" s="61"/>
      <c r="W1607" s="61"/>
      <c r="X1607" s="61"/>
      <c r="Y1607" s="61"/>
      <c r="Z1607" s="61"/>
    </row>
    <row r="1608" spans="1:26" ht="13">
      <c r="A1608" s="61"/>
      <c r="B1608" s="61"/>
      <c r="C1608" s="61"/>
      <c r="D1608" s="61"/>
      <c r="E1608" s="61"/>
      <c r="F1608" s="61"/>
      <c r="G1608" s="179"/>
      <c r="H1608" s="61"/>
      <c r="I1608" s="61"/>
      <c r="J1608" s="61"/>
      <c r="K1608" s="61"/>
      <c r="L1608" s="61"/>
      <c r="M1608" s="61"/>
      <c r="N1608" s="61"/>
      <c r="O1608" s="61"/>
      <c r="P1608" s="61"/>
      <c r="Q1608" s="61"/>
      <c r="R1608" s="61"/>
      <c r="S1608" s="61"/>
      <c r="T1608" s="61"/>
      <c r="U1608" s="61"/>
      <c r="V1608" s="61"/>
      <c r="W1608" s="61"/>
      <c r="X1608" s="61"/>
      <c r="Y1608" s="61"/>
      <c r="Z1608" s="61"/>
    </row>
    <row r="1609" spans="1:26" ht="13">
      <c r="A1609" s="61"/>
      <c r="B1609" s="61"/>
      <c r="C1609" s="61"/>
      <c r="D1609" s="61"/>
      <c r="E1609" s="61"/>
      <c r="F1609" s="61"/>
      <c r="G1609" s="179"/>
      <c r="H1609" s="61"/>
      <c r="I1609" s="61"/>
      <c r="J1609" s="61"/>
      <c r="K1609" s="61"/>
      <c r="L1609" s="61"/>
      <c r="M1609" s="61"/>
      <c r="N1609" s="61"/>
      <c r="O1609" s="61"/>
      <c r="P1609" s="61"/>
      <c r="Q1609" s="61"/>
      <c r="R1609" s="61"/>
      <c r="S1609" s="61"/>
      <c r="T1609" s="61"/>
      <c r="U1609" s="61"/>
      <c r="V1609" s="61"/>
      <c r="W1609" s="61"/>
      <c r="X1609" s="61"/>
      <c r="Y1609" s="61"/>
      <c r="Z1609" s="61"/>
    </row>
    <row r="1610" spans="1:26" ht="13">
      <c r="A1610" s="61"/>
      <c r="B1610" s="61"/>
      <c r="C1610" s="61"/>
      <c r="D1610" s="61"/>
      <c r="E1610" s="61"/>
      <c r="F1610" s="61"/>
      <c r="G1610" s="179"/>
      <c r="H1610" s="61"/>
      <c r="I1610" s="61"/>
      <c r="J1610" s="61"/>
      <c r="K1610" s="61"/>
      <c r="L1610" s="61"/>
      <c r="M1610" s="61"/>
      <c r="N1610" s="61"/>
      <c r="O1610" s="61"/>
      <c r="P1610" s="61"/>
      <c r="Q1610" s="61"/>
      <c r="R1610" s="61"/>
      <c r="S1610" s="61"/>
      <c r="T1610" s="61"/>
      <c r="U1610" s="61"/>
      <c r="V1610" s="61"/>
      <c r="W1610" s="61"/>
      <c r="X1610" s="61"/>
      <c r="Y1610" s="61"/>
      <c r="Z1610" s="61"/>
    </row>
    <row r="1611" spans="1:26" ht="13">
      <c r="A1611" s="61"/>
      <c r="B1611" s="61"/>
      <c r="C1611" s="61"/>
      <c r="D1611" s="61"/>
      <c r="E1611" s="61"/>
      <c r="F1611" s="61"/>
      <c r="G1611" s="179"/>
      <c r="H1611" s="61"/>
      <c r="I1611" s="61"/>
      <c r="J1611" s="61"/>
      <c r="K1611" s="61"/>
      <c r="L1611" s="61"/>
      <c r="M1611" s="61"/>
      <c r="N1611" s="61"/>
      <c r="O1611" s="61"/>
      <c r="P1611" s="61"/>
      <c r="Q1611" s="61"/>
      <c r="R1611" s="61"/>
      <c r="S1611" s="61"/>
      <c r="T1611" s="61"/>
      <c r="U1611" s="61"/>
      <c r="V1611" s="61"/>
      <c r="W1611" s="61"/>
      <c r="X1611" s="61"/>
      <c r="Y1611" s="61"/>
      <c r="Z1611" s="61"/>
    </row>
    <row r="1612" spans="1:26" ht="13">
      <c r="A1612" s="61"/>
      <c r="B1612" s="61"/>
      <c r="C1612" s="61"/>
      <c r="D1612" s="61"/>
      <c r="E1612" s="61"/>
      <c r="F1612" s="61"/>
      <c r="G1612" s="179"/>
      <c r="H1612" s="61"/>
      <c r="I1612" s="61"/>
      <c r="J1612" s="61"/>
      <c r="K1612" s="61"/>
      <c r="L1612" s="61"/>
      <c r="M1612" s="61"/>
      <c r="N1612" s="61"/>
      <c r="O1612" s="61"/>
      <c r="P1612" s="61"/>
      <c r="Q1612" s="61"/>
      <c r="R1612" s="61"/>
      <c r="S1612" s="61"/>
      <c r="T1612" s="61"/>
      <c r="U1612" s="61"/>
      <c r="V1612" s="61"/>
      <c r="W1612" s="61"/>
      <c r="X1612" s="61"/>
      <c r="Y1612" s="61"/>
      <c r="Z1612" s="61"/>
    </row>
    <row r="1613" spans="1:26" ht="13">
      <c r="A1613" s="61"/>
      <c r="B1613" s="61"/>
      <c r="C1613" s="61"/>
      <c r="D1613" s="61"/>
      <c r="E1613" s="61"/>
      <c r="F1613" s="61"/>
      <c r="G1613" s="179"/>
      <c r="H1613" s="61"/>
      <c r="I1613" s="61"/>
      <c r="J1613" s="61"/>
      <c r="K1613" s="61"/>
      <c r="L1613" s="61"/>
      <c r="M1613" s="61"/>
      <c r="N1613" s="61"/>
      <c r="O1613" s="61"/>
      <c r="P1613" s="61"/>
      <c r="Q1613" s="61"/>
      <c r="R1613" s="61"/>
      <c r="S1613" s="61"/>
      <c r="T1613" s="61"/>
      <c r="U1613" s="61"/>
      <c r="V1613" s="61"/>
      <c r="W1613" s="61"/>
      <c r="X1613" s="61"/>
      <c r="Y1613" s="61"/>
      <c r="Z1613" s="61"/>
    </row>
    <row r="1614" spans="1:26" ht="13">
      <c r="A1614" s="61"/>
      <c r="B1614" s="61"/>
      <c r="C1614" s="61"/>
      <c r="D1614" s="61"/>
      <c r="E1614" s="61"/>
      <c r="F1614" s="61"/>
      <c r="G1614" s="179"/>
      <c r="H1614" s="61"/>
      <c r="I1614" s="61"/>
      <c r="J1614" s="61"/>
      <c r="K1614" s="61"/>
      <c r="L1614" s="61"/>
      <c r="M1614" s="61"/>
      <c r="N1614" s="61"/>
      <c r="O1614" s="61"/>
      <c r="P1614" s="61"/>
      <c r="Q1614" s="61"/>
      <c r="R1614" s="61"/>
      <c r="S1614" s="61"/>
      <c r="T1614" s="61"/>
      <c r="U1614" s="61"/>
      <c r="V1614" s="61"/>
      <c r="W1614" s="61"/>
      <c r="X1614" s="61"/>
      <c r="Y1614" s="61"/>
      <c r="Z1614" s="61"/>
    </row>
    <row r="1615" spans="1:26" ht="13">
      <c r="A1615" s="61"/>
      <c r="B1615" s="61"/>
      <c r="C1615" s="61"/>
      <c r="D1615" s="61"/>
      <c r="E1615" s="61"/>
      <c r="F1615" s="61"/>
      <c r="G1615" s="179"/>
      <c r="H1615" s="61"/>
      <c r="I1615" s="61"/>
      <c r="J1615" s="61"/>
      <c r="K1615" s="61"/>
      <c r="L1615" s="61"/>
      <c r="M1615" s="61"/>
      <c r="N1615" s="61"/>
      <c r="O1615" s="61"/>
      <c r="P1615" s="61"/>
      <c r="Q1615" s="61"/>
      <c r="R1615" s="61"/>
      <c r="S1615" s="61"/>
      <c r="T1615" s="61"/>
      <c r="U1615" s="61"/>
      <c r="V1615" s="61"/>
      <c r="W1615" s="61"/>
      <c r="X1615" s="61"/>
      <c r="Y1615" s="61"/>
      <c r="Z1615" s="61"/>
    </row>
    <row r="1616" spans="1:26" ht="13">
      <c r="A1616" s="61"/>
      <c r="B1616" s="61"/>
      <c r="C1616" s="61"/>
      <c r="D1616" s="61"/>
      <c r="E1616" s="61"/>
      <c r="F1616" s="61"/>
      <c r="G1616" s="179"/>
      <c r="H1616" s="61"/>
      <c r="I1616" s="61"/>
      <c r="J1616" s="61"/>
      <c r="K1616" s="61"/>
      <c r="L1616" s="61"/>
      <c r="M1616" s="61"/>
      <c r="N1616" s="61"/>
      <c r="O1616" s="61"/>
      <c r="P1616" s="61"/>
      <c r="Q1616" s="61"/>
      <c r="R1616" s="61"/>
      <c r="S1616" s="61"/>
      <c r="T1616" s="61"/>
      <c r="U1616" s="61"/>
      <c r="V1616" s="61"/>
      <c r="W1616" s="61"/>
      <c r="X1616" s="61"/>
      <c r="Y1616" s="61"/>
      <c r="Z1616" s="61"/>
    </row>
    <row r="1617" spans="1:26" ht="13">
      <c r="A1617" s="61"/>
      <c r="B1617" s="61"/>
      <c r="C1617" s="61"/>
      <c r="D1617" s="61"/>
      <c r="E1617" s="61"/>
      <c r="F1617" s="61"/>
      <c r="G1617" s="179"/>
      <c r="H1617" s="61"/>
      <c r="I1617" s="61"/>
      <c r="J1617" s="61"/>
      <c r="K1617" s="61"/>
      <c r="L1617" s="61"/>
      <c r="M1617" s="61"/>
      <c r="N1617" s="61"/>
      <c r="O1617" s="61"/>
      <c r="P1617" s="61"/>
      <c r="Q1617" s="61"/>
      <c r="R1617" s="61"/>
      <c r="S1617" s="61"/>
      <c r="T1617" s="61"/>
      <c r="U1617" s="61"/>
      <c r="V1617" s="61"/>
      <c r="W1617" s="61"/>
      <c r="X1617" s="61"/>
      <c r="Y1617" s="61"/>
      <c r="Z1617" s="61"/>
    </row>
    <row r="1618" spans="1:26" ht="13">
      <c r="A1618" s="61"/>
      <c r="B1618" s="61"/>
      <c r="C1618" s="61"/>
      <c r="D1618" s="61"/>
      <c r="E1618" s="61"/>
      <c r="F1618" s="61"/>
      <c r="G1618" s="179"/>
      <c r="H1618" s="61"/>
      <c r="I1618" s="61"/>
      <c r="J1618" s="61"/>
      <c r="K1618" s="61"/>
      <c r="L1618" s="61"/>
      <c r="M1618" s="61"/>
      <c r="N1618" s="61"/>
      <c r="O1618" s="61"/>
      <c r="P1618" s="61"/>
      <c r="Q1618" s="61"/>
      <c r="R1618" s="61"/>
      <c r="S1618" s="61"/>
      <c r="T1618" s="61"/>
      <c r="U1618" s="61"/>
      <c r="V1618" s="61"/>
      <c r="W1618" s="61"/>
      <c r="X1618" s="61"/>
      <c r="Y1618" s="61"/>
      <c r="Z1618" s="61"/>
    </row>
    <row r="1619" spans="1:26" ht="13">
      <c r="A1619" s="61"/>
      <c r="B1619" s="61"/>
      <c r="C1619" s="61"/>
      <c r="D1619" s="61"/>
      <c r="E1619" s="61"/>
      <c r="F1619" s="61"/>
      <c r="G1619" s="179"/>
      <c r="H1619" s="61"/>
      <c r="I1619" s="61"/>
      <c r="J1619" s="61"/>
      <c r="K1619" s="61"/>
      <c r="L1619" s="61"/>
      <c r="M1619" s="61"/>
      <c r="N1619" s="61"/>
      <c r="O1619" s="61"/>
      <c r="P1619" s="61"/>
      <c r="Q1619" s="61"/>
      <c r="R1619" s="61"/>
      <c r="S1619" s="61"/>
      <c r="T1619" s="61"/>
      <c r="U1619" s="61"/>
      <c r="V1619" s="61"/>
      <c r="W1619" s="61"/>
      <c r="X1619" s="61"/>
      <c r="Y1619" s="61"/>
      <c r="Z1619" s="61"/>
    </row>
    <row r="1620" spans="1:26" ht="13">
      <c r="A1620" s="61"/>
      <c r="B1620" s="61"/>
      <c r="C1620" s="61"/>
      <c r="D1620" s="61"/>
      <c r="E1620" s="61"/>
      <c r="F1620" s="61"/>
      <c r="G1620" s="179"/>
      <c r="H1620" s="61"/>
      <c r="I1620" s="61"/>
      <c r="J1620" s="61"/>
      <c r="K1620" s="61"/>
      <c r="L1620" s="61"/>
      <c r="M1620" s="61"/>
      <c r="N1620" s="61"/>
      <c r="O1620" s="61"/>
      <c r="P1620" s="61"/>
      <c r="Q1620" s="61"/>
      <c r="R1620" s="61"/>
      <c r="S1620" s="61"/>
      <c r="T1620" s="61"/>
      <c r="U1620" s="61"/>
      <c r="V1620" s="61"/>
      <c r="W1620" s="61"/>
      <c r="X1620" s="61"/>
      <c r="Y1620" s="61"/>
      <c r="Z1620" s="61"/>
    </row>
    <row r="1621" spans="1:26" ht="13">
      <c r="A1621" s="61"/>
      <c r="B1621" s="61"/>
      <c r="C1621" s="61"/>
      <c r="D1621" s="61"/>
      <c r="E1621" s="61"/>
      <c r="F1621" s="61"/>
      <c r="G1621" s="179"/>
      <c r="H1621" s="61"/>
      <c r="I1621" s="61"/>
      <c r="J1621" s="61"/>
      <c r="K1621" s="61"/>
      <c r="L1621" s="61"/>
      <c r="M1621" s="61"/>
      <c r="N1621" s="61"/>
      <c r="O1621" s="61"/>
      <c r="P1621" s="61"/>
      <c r="Q1621" s="61"/>
      <c r="R1621" s="61"/>
      <c r="S1621" s="61"/>
      <c r="T1621" s="61"/>
      <c r="U1621" s="61"/>
      <c r="V1621" s="61"/>
      <c r="W1621" s="61"/>
      <c r="X1621" s="61"/>
      <c r="Y1621" s="61"/>
      <c r="Z1621" s="61"/>
    </row>
    <row r="1622" spans="1:26" ht="13">
      <c r="A1622" s="61"/>
      <c r="B1622" s="61"/>
      <c r="C1622" s="61"/>
      <c r="D1622" s="61"/>
      <c r="E1622" s="61"/>
      <c r="F1622" s="61"/>
      <c r="G1622" s="179"/>
      <c r="H1622" s="61"/>
      <c r="I1622" s="61"/>
      <c r="J1622" s="61"/>
      <c r="K1622" s="61"/>
      <c r="L1622" s="61"/>
      <c r="M1622" s="61"/>
      <c r="N1622" s="61"/>
      <c r="O1622" s="61"/>
      <c r="P1622" s="61"/>
      <c r="Q1622" s="61"/>
      <c r="R1622" s="61"/>
      <c r="S1622" s="61"/>
      <c r="T1622" s="61"/>
      <c r="U1622" s="61"/>
      <c r="V1622" s="61"/>
      <c r="W1622" s="61"/>
      <c r="X1622" s="61"/>
      <c r="Y1622" s="61"/>
      <c r="Z1622" s="61"/>
    </row>
    <row r="1623" spans="1:26" ht="13">
      <c r="A1623" s="61"/>
      <c r="B1623" s="61"/>
      <c r="C1623" s="61"/>
      <c r="D1623" s="61"/>
      <c r="E1623" s="61"/>
      <c r="F1623" s="61"/>
      <c r="G1623" s="179"/>
      <c r="H1623" s="61"/>
      <c r="I1623" s="61"/>
      <c r="J1623" s="61"/>
      <c r="K1623" s="61"/>
      <c r="L1623" s="61"/>
      <c r="M1623" s="61"/>
      <c r="N1623" s="61"/>
      <c r="O1623" s="61"/>
      <c r="P1623" s="61"/>
      <c r="Q1623" s="61"/>
      <c r="R1623" s="61"/>
      <c r="S1623" s="61"/>
      <c r="T1623" s="61"/>
      <c r="U1623" s="61"/>
      <c r="V1623" s="61"/>
      <c r="W1623" s="61"/>
      <c r="X1623" s="61"/>
      <c r="Y1623" s="61"/>
      <c r="Z1623" s="61"/>
    </row>
    <row r="1624" spans="1:26" ht="13">
      <c r="A1624" s="61"/>
      <c r="B1624" s="61"/>
      <c r="C1624" s="61"/>
      <c r="D1624" s="61"/>
      <c r="E1624" s="61"/>
      <c r="F1624" s="61"/>
      <c r="G1624" s="179"/>
      <c r="H1624" s="61"/>
      <c r="I1624" s="61"/>
      <c r="J1624" s="61"/>
      <c r="K1624" s="61"/>
      <c r="L1624" s="61"/>
      <c r="M1624" s="61"/>
      <c r="N1624" s="61"/>
      <c r="O1624" s="61"/>
      <c r="P1624" s="61"/>
      <c r="Q1624" s="61"/>
      <c r="R1624" s="61"/>
      <c r="S1624" s="61"/>
      <c r="T1624" s="61"/>
      <c r="U1624" s="61"/>
      <c r="V1624" s="61"/>
      <c r="W1624" s="61"/>
      <c r="X1624" s="61"/>
      <c r="Y1624" s="61"/>
      <c r="Z1624" s="61"/>
    </row>
    <row r="1625" spans="1:26" ht="13">
      <c r="A1625" s="61"/>
      <c r="B1625" s="61"/>
      <c r="C1625" s="61"/>
      <c r="D1625" s="61"/>
      <c r="E1625" s="61"/>
      <c r="F1625" s="61"/>
      <c r="G1625" s="179"/>
      <c r="H1625" s="61"/>
      <c r="I1625" s="61"/>
      <c r="J1625" s="61"/>
      <c r="K1625" s="61"/>
      <c r="L1625" s="61"/>
      <c r="M1625" s="61"/>
      <c r="N1625" s="61"/>
      <c r="O1625" s="61"/>
      <c r="P1625" s="61"/>
      <c r="Q1625" s="61"/>
      <c r="R1625" s="61"/>
      <c r="S1625" s="61"/>
      <c r="T1625" s="61"/>
      <c r="U1625" s="61"/>
      <c r="V1625" s="61"/>
      <c r="W1625" s="61"/>
      <c r="X1625" s="61"/>
      <c r="Y1625" s="61"/>
      <c r="Z1625" s="61"/>
    </row>
    <row r="1626" spans="1:26" ht="13">
      <c r="A1626" s="61"/>
      <c r="B1626" s="61"/>
      <c r="C1626" s="61"/>
      <c r="D1626" s="61"/>
      <c r="E1626" s="61"/>
      <c r="F1626" s="61"/>
      <c r="G1626" s="179"/>
      <c r="H1626" s="61"/>
      <c r="I1626" s="61"/>
      <c r="J1626" s="61"/>
      <c r="K1626" s="61"/>
      <c r="L1626" s="61"/>
      <c r="M1626" s="61"/>
      <c r="N1626" s="61"/>
      <c r="O1626" s="61"/>
      <c r="P1626" s="61"/>
      <c r="Q1626" s="61"/>
      <c r="R1626" s="61"/>
      <c r="S1626" s="61"/>
      <c r="T1626" s="61"/>
      <c r="U1626" s="61"/>
      <c r="V1626" s="61"/>
      <c r="W1626" s="61"/>
      <c r="X1626" s="61"/>
      <c r="Y1626" s="61"/>
      <c r="Z1626" s="61"/>
    </row>
    <row r="1627" spans="1:26" ht="13">
      <c r="A1627" s="61"/>
      <c r="B1627" s="61"/>
      <c r="C1627" s="61"/>
      <c r="D1627" s="61"/>
      <c r="E1627" s="61"/>
      <c r="F1627" s="61"/>
      <c r="G1627" s="179"/>
      <c r="H1627" s="61"/>
      <c r="I1627" s="61"/>
      <c r="J1627" s="61"/>
      <c r="K1627" s="61"/>
      <c r="L1627" s="61"/>
      <c r="M1627" s="61"/>
      <c r="N1627" s="61"/>
      <c r="O1627" s="61"/>
      <c r="P1627" s="61"/>
      <c r="Q1627" s="61"/>
      <c r="R1627" s="61"/>
      <c r="S1627" s="61"/>
      <c r="T1627" s="61"/>
      <c r="U1627" s="61"/>
      <c r="V1627" s="61"/>
      <c r="W1627" s="61"/>
      <c r="X1627" s="61"/>
      <c r="Y1627" s="61"/>
      <c r="Z1627" s="61"/>
    </row>
    <row r="1628" spans="1:26" ht="13">
      <c r="A1628" s="61"/>
      <c r="B1628" s="61"/>
      <c r="C1628" s="61"/>
      <c r="D1628" s="61"/>
      <c r="E1628" s="61"/>
      <c r="F1628" s="61"/>
      <c r="G1628" s="179"/>
      <c r="H1628" s="61"/>
      <c r="I1628" s="61"/>
      <c r="J1628" s="61"/>
      <c r="K1628" s="61"/>
      <c r="L1628" s="61"/>
      <c r="M1628" s="61"/>
      <c r="N1628" s="61"/>
      <c r="O1628" s="61"/>
      <c r="P1628" s="61"/>
      <c r="Q1628" s="61"/>
      <c r="R1628" s="61"/>
      <c r="S1628" s="61"/>
      <c r="T1628" s="61"/>
      <c r="U1628" s="61"/>
      <c r="V1628" s="61"/>
      <c r="W1628" s="61"/>
      <c r="X1628" s="61"/>
      <c r="Y1628" s="61"/>
      <c r="Z1628" s="61"/>
    </row>
    <row r="1629" spans="1:26" ht="13">
      <c r="A1629" s="61"/>
      <c r="B1629" s="61"/>
      <c r="C1629" s="61"/>
      <c r="D1629" s="61"/>
      <c r="E1629" s="61"/>
      <c r="F1629" s="61"/>
      <c r="G1629" s="179"/>
      <c r="H1629" s="61"/>
      <c r="I1629" s="61"/>
      <c r="J1629" s="61"/>
      <c r="K1629" s="61"/>
      <c r="L1629" s="61"/>
      <c r="M1629" s="61"/>
      <c r="N1629" s="61"/>
      <c r="O1629" s="61"/>
      <c r="P1629" s="61"/>
      <c r="Q1629" s="61"/>
      <c r="R1629" s="61"/>
      <c r="S1629" s="61"/>
      <c r="T1629" s="61"/>
      <c r="U1629" s="61"/>
      <c r="V1629" s="61"/>
      <c r="W1629" s="61"/>
      <c r="X1629" s="61"/>
      <c r="Y1629" s="61"/>
      <c r="Z1629" s="61"/>
    </row>
    <row r="1630" spans="1:26" ht="13">
      <c r="A1630" s="61"/>
      <c r="B1630" s="61"/>
      <c r="C1630" s="61"/>
      <c r="D1630" s="61"/>
      <c r="E1630" s="61"/>
      <c r="F1630" s="61"/>
      <c r="G1630" s="179"/>
      <c r="H1630" s="61"/>
      <c r="I1630" s="61"/>
      <c r="J1630" s="61"/>
      <c r="K1630" s="61"/>
      <c r="L1630" s="61"/>
      <c r="M1630" s="61"/>
      <c r="N1630" s="61"/>
      <c r="O1630" s="61"/>
      <c r="P1630" s="61"/>
      <c r="Q1630" s="61"/>
      <c r="R1630" s="61"/>
      <c r="S1630" s="61"/>
      <c r="T1630" s="61"/>
      <c r="U1630" s="61"/>
      <c r="V1630" s="61"/>
      <c r="W1630" s="61"/>
      <c r="X1630" s="61"/>
      <c r="Y1630" s="61"/>
      <c r="Z1630" s="61"/>
    </row>
    <row r="1631" spans="1:26" ht="13">
      <c r="A1631" s="61"/>
      <c r="B1631" s="61"/>
      <c r="C1631" s="61"/>
      <c r="D1631" s="61"/>
      <c r="E1631" s="61"/>
      <c r="F1631" s="61"/>
      <c r="G1631" s="179"/>
      <c r="H1631" s="61"/>
      <c r="I1631" s="61"/>
      <c r="J1631" s="61"/>
      <c r="K1631" s="61"/>
      <c r="L1631" s="61"/>
      <c r="M1631" s="61"/>
      <c r="N1631" s="61"/>
      <c r="O1631" s="61"/>
      <c r="P1631" s="61"/>
      <c r="Q1631" s="61"/>
      <c r="R1631" s="61"/>
      <c r="S1631" s="61"/>
      <c r="T1631" s="61"/>
      <c r="U1631" s="61"/>
      <c r="V1631" s="61"/>
      <c r="W1631" s="61"/>
      <c r="X1631" s="61"/>
      <c r="Y1631" s="61"/>
      <c r="Z1631" s="61"/>
    </row>
    <row r="1632" spans="1:26" ht="13">
      <c r="A1632" s="61"/>
      <c r="B1632" s="61"/>
      <c r="C1632" s="61"/>
      <c r="D1632" s="61"/>
      <c r="E1632" s="61"/>
      <c r="F1632" s="61"/>
      <c r="G1632" s="179"/>
      <c r="H1632" s="61"/>
      <c r="I1632" s="61"/>
      <c r="J1632" s="61"/>
      <c r="K1632" s="61"/>
      <c r="L1632" s="61"/>
      <c r="M1632" s="61"/>
      <c r="N1632" s="61"/>
      <c r="O1632" s="61"/>
      <c r="P1632" s="61"/>
      <c r="Q1632" s="61"/>
      <c r="R1632" s="61"/>
      <c r="S1632" s="61"/>
      <c r="T1632" s="61"/>
      <c r="U1632" s="61"/>
      <c r="V1632" s="61"/>
      <c r="W1632" s="61"/>
      <c r="X1632" s="61"/>
      <c r="Y1632" s="61"/>
      <c r="Z1632" s="61"/>
    </row>
    <row r="1633" spans="1:26" ht="13">
      <c r="A1633" s="61"/>
      <c r="B1633" s="61"/>
      <c r="C1633" s="61"/>
      <c r="D1633" s="61"/>
      <c r="E1633" s="61"/>
      <c r="F1633" s="61"/>
      <c r="G1633" s="179"/>
      <c r="H1633" s="61"/>
      <c r="I1633" s="61"/>
      <c r="J1633" s="61"/>
      <c r="K1633" s="61"/>
      <c r="L1633" s="61"/>
      <c r="M1633" s="61"/>
      <c r="N1633" s="61"/>
      <c r="O1633" s="61"/>
      <c r="P1633" s="61"/>
      <c r="Q1633" s="61"/>
      <c r="R1633" s="61"/>
      <c r="S1633" s="61"/>
      <c r="T1633" s="61"/>
      <c r="U1633" s="61"/>
      <c r="V1633" s="61"/>
      <c r="W1633" s="61"/>
      <c r="X1633" s="61"/>
      <c r="Y1633" s="61"/>
      <c r="Z1633" s="61"/>
    </row>
    <row r="1634" spans="1:26" ht="13">
      <c r="A1634" s="61"/>
      <c r="B1634" s="61"/>
      <c r="C1634" s="61"/>
      <c r="D1634" s="61"/>
      <c r="E1634" s="61"/>
      <c r="F1634" s="61"/>
      <c r="G1634" s="179"/>
      <c r="H1634" s="61"/>
      <c r="I1634" s="61"/>
      <c r="J1634" s="61"/>
      <c r="K1634" s="61"/>
      <c r="L1634" s="61"/>
      <c r="M1634" s="61"/>
      <c r="N1634" s="61"/>
      <c r="O1634" s="61"/>
      <c r="P1634" s="61"/>
      <c r="Q1634" s="61"/>
      <c r="R1634" s="61"/>
      <c r="S1634" s="61"/>
      <c r="T1634" s="61"/>
      <c r="U1634" s="61"/>
      <c r="V1634" s="61"/>
      <c r="W1634" s="61"/>
      <c r="X1634" s="61"/>
      <c r="Y1634" s="61"/>
      <c r="Z1634" s="61"/>
    </row>
    <row r="1635" spans="1:26" ht="13">
      <c r="A1635" s="61"/>
      <c r="B1635" s="61"/>
      <c r="C1635" s="61"/>
      <c r="D1635" s="61"/>
      <c r="E1635" s="61"/>
      <c r="F1635" s="61"/>
      <c r="G1635" s="179"/>
      <c r="H1635" s="61"/>
      <c r="I1635" s="61"/>
      <c r="J1635" s="61"/>
      <c r="K1635" s="61"/>
      <c r="L1635" s="61"/>
      <c r="M1635" s="61"/>
      <c r="N1635" s="61"/>
      <c r="O1635" s="61"/>
      <c r="P1635" s="61"/>
      <c r="Q1635" s="61"/>
      <c r="R1635" s="61"/>
      <c r="S1635" s="61"/>
      <c r="T1635" s="61"/>
      <c r="U1635" s="61"/>
      <c r="V1635" s="61"/>
      <c r="W1635" s="61"/>
      <c r="X1635" s="61"/>
      <c r="Y1635" s="61"/>
      <c r="Z1635" s="61"/>
    </row>
    <row r="1636" spans="1:26" ht="13">
      <c r="A1636" s="61"/>
      <c r="B1636" s="61"/>
      <c r="C1636" s="61"/>
      <c r="D1636" s="61"/>
      <c r="E1636" s="61"/>
      <c r="F1636" s="61"/>
      <c r="G1636" s="179"/>
      <c r="H1636" s="61"/>
      <c r="I1636" s="61"/>
      <c r="J1636" s="61"/>
      <c r="K1636" s="61"/>
      <c r="L1636" s="61"/>
      <c r="M1636" s="61"/>
      <c r="N1636" s="61"/>
      <c r="O1636" s="61"/>
      <c r="P1636" s="61"/>
      <c r="Q1636" s="61"/>
      <c r="R1636" s="61"/>
      <c r="S1636" s="61"/>
      <c r="T1636" s="61"/>
      <c r="U1636" s="61"/>
      <c r="V1636" s="61"/>
      <c r="W1636" s="61"/>
      <c r="X1636" s="61"/>
      <c r="Y1636" s="61"/>
      <c r="Z1636" s="61"/>
    </row>
    <row r="1637" spans="1:26" ht="13">
      <c r="A1637" s="61"/>
      <c r="B1637" s="61"/>
      <c r="C1637" s="61"/>
      <c r="D1637" s="61"/>
      <c r="E1637" s="61"/>
      <c r="F1637" s="61"/>
      <c r="G1637" s="179"/>
      <c r="H1637" s="61"/>
      <c r="I1637" s="61"/>
      <c r="J1637" s="61"/>
      <c r="K1637" s="61"/>
      <c r="L1637" s="61"/>
      <c r="M1637" s="61"/>
      <c r="N1637" s="61"/>
      <c r="O1637" s="61"/>
      <c r="P1637" s="61"/>
      <c r="Q1637" s="61"/>
      <c r="R1637" s="61"/>
      <c r="S1637" s="61"/>
      <c r="T1637" s="61"/>
      <c r="U1637" s="61"/>
      <c r="V1637" s="61"/>
      <c r="W1637" s="61"/>
      <c r="X1637" s="61"/>
      <c r="Y1637" s="61"/>
      <c r="Z1637" s="61"/>
    </row>
    <row r="1638" spans="1:26" ht="13">
      <c r="A1638" s="61"/>
      <c r="B1638" s="61"/>
      <c r="C1638" s="61"/>
      <c r="D1638" s="61"/>
      <c r="E1638" s="61"/>
      <c r="F1638" s="61"/>
      <c r="G1638" s="179"/>
      <c r="H1638" s="61"/>
      <c r="I1638" s="61"/>
      <c r="J1638" s="61"/>
      <c r="K1638" s="61"/>
      <c r="L1638" s="61"/>
      <c r="M1638" s="61"/>
      <c r="N1638" s="61"/>
      <c r="O1638" s="61"/>
      <c r="P1638" s="61"/>
      <c r="Q1638" s="61"/>
      <c r="R1638" s="61"/>
      <c r="S1638" s="61"/>
      <c r="T1638" s="61"/>
      <c r="U1638" s="61"/>
      <c r="V1638" s="61"/>
      <c r="W1638" s="61"/>
      <c r="X1638" s="61"/>
      <c r="Y1638" s="61"/>
      <c r="Z1638" s="61"/>
    </row>
    <row r="1639" spans="1:26" ht="13">
      <c r="A1639" s="61"/>
      <c r="B1639" s="61"/>
      <c r="C1639" s="61"/>
      <c r="D1639" s="61"/>
      <c r="E1639" s="61"/>
      <c r="F1639" s="61"/>
      <c r="G1639" s="179"/>
      <c r="H1639" s="61"/>
      <c r="I1639" s="61"/>
      <c r="J1639" s="61"/>
      <c r="K1639" s="61"/>
      <c r="L1639" s="61"/>
      <c r="M1639" s="61"/>
      <c r="N1639" s="61"/>
      <c r="O1639" s="61"/>
      <c r="P1639" s="61"/>
      <c r="Q1639" s="61"/>
      <c r="R1639" s="61"/>
      <c r="S1639" s="61"/>
      <c r="T1639" s="61"/>
      <c r="U1639" s="61"/>
      <c r="V1639" s="61"/>
      <c r="W1639" s="61"/>
      <c r="X1639" s="61"/>
      <c r="Y1639" s="61"/>
      <c r="Z1639" s="61"/>
    </row>
    <row r="1640" spans="1:26" ht="13">
      <c r="A1640" s="61"/>
      <c r="B1640" s="61"/>
      <c r="C1640" s="61"/>
      <c r="D1640" s="61"/>
      <c r="E1640" s="61"/>
      <c r="F1640" s="61"/>
      <c r="G1640" s="179"/>
      <c r="H1640" s="61"/>
      <c r="I1640" s="61"/>
      <c r="J1640" s="61"/>
      <c r="K1640" s="61"/>
      <c r="L1640" s="61"/>
      <c r="M1640" s="61"/>
      <c r="N1640" s="61"/>
      <c r="O1640" s="61"/>
      <c r="P1640" s="61"/>
      <c r="Q1640" s="61"/>
      <c r="R1640" s="61"/>
      <c r="S1640" s="61"/>
      <c r="T1640" s="61"/>
      <c r="U1640" s="61"/>
      <c r="V1640" s="61"/>
      <c r="W1640" s="61"/>
      <c r="X1640" s="61"/>
      <c r="Y1640" s="61"/>
      <c r="Z1640" s="61"/>
    </row>
    <row r="1641" spans="1:26" ht="13">
      <c r="A1641" s="61"/>
      <c r="B1641" s="61"/>
      <c r="C1641" s="61"/>
      <c r="D1641" s="61"/>
      <c r="E1641" s="61"/>
      <c r="F1641" s="61"/>
      <c r="G1641" s="179"/>
      <c r="H1641" s="61"/>
      <c r="I1641" s="61"/>
      <c r="J1641" s="61"/>
      <c r="K1641" s="61"/>
      <c r="L1641" s="61"/>
      <c r="M1641" s="61"/>
      <c r="N1641" s="61"/>
      <c r="O1641" s="61"/>
      <c r="P1641" s="61"/>
      <c r="Q1641" s="61"/>
      <c r="R1641" s="61"/>
      <c r="S1641" s="61"/>
      <c r="T1641" s="61"/>
      <c r="U1641" s="61"/>
      <c r="V1641" s="61"/>
      <c r="W1641" s="61"/>
      <c r="X1641" s="61"/>
      <c r="Y1641" s="61"/>
      <c r="Z1641" s="61"/>
    </row>
    <row r="1642" spans="1:26" ht="13">
      <c r="A1642" s="61"/>
      <c r="B1642" s="61"/>
      <c r="C1642" s="61"/>
      <c r="D1642" s="61"/>
      <c r="E1642" s="61"/>
      <c r="F1642" s="61"/>
      <c r="G1642" s="179"/>
      <c r="H1642" s="61"/>
      <c r="I1642" s="61"/>
      <c r="J1642" s="61"/>
      <c r="K1642" s="61"/>
      <c r="L1642" s="61"/>
      <c r="M1642" s="61"/>
      <c r="N1642" s="61"/>
      <c r="O1642" s="61"/>
      <c r="P1642" s="61"/>
      <c r="Q1642" s="61"/>
      <c r="R1642" s="61"/>
      <c r="S1642" s="61"/>
      <c r="T1642" s="61"/>
      <c r="U1642" s="61"/>
      <c r="V1642" s="61"/>
      <c r="W1642" s="61"/>
      <c r="X1642" s="61"/>
      <c r="Y1642" s="61"/>
      <c r="Z1642" s="61"/>
    </row>
    <row r="1643" spans="1:26" ht="13">
      <c r="A1643" s="61"/>
      <c r="B1643" s="61"/>
      <c r="C1643" s="61"/>
      <c r="D1643" s="61"/>
      <c r="E1643" s="61"/>
      <c r="F1643" s="61"/>
      <c r="G1643" s="179"/>
      <c r="H1643" s="61"/>
      <c r="I1643" s="61"/>
      <c r="J1643" s="61"/>
      <c r="K1643" s="61"/>
      <c r="L1643" s="61"/>
      <c r="M1643" s="61"/>
      <c r="N1643" s="61"/>
      <c r="O1643" s="61"/>
      <c r="P1643" s="61"/>
      <c r="Q1643" s="61"/>
      <c r="R1643" s="61"/>
      <c r="S1643" s="61"/>
      <c r="T1643" s="61"/>
      <c r="U1643" s="61"/>
      <c r="V1643" s="61"/>
      <c r="W1643" s="61"/>
      <c r="X1643" s="61"/>
      <c r="Y1643" s="61"/>
      <c r="Z1643" s="61"/>
    </row>
    <row r="1644" spans="1:26" ht="13">
      <c r="A1644" s="61"/>
      <c r="B1644" s="61"/>
      <c r="C1644" s="61"/>
      <c r="D1644" s="61"/>
      <c r="E1644" s="61"/>
      <c r="F1644" s="61"/>
      <c r="G1644" s="179"/>
      <c r="H1644" s="61"/>
      <c r="I1644" s="61"/>
      <c r="J1644" s="61"/>
      <c r="K1644" s="61"/>
      <c r="L1644" s="61"/>
      <c r="M1644" s="61"/>
      <c r="N1644" s="61"/>
      <c r="O1644" s="61"/>
      <c r="P1644" s="61"/>
      <c r="Q1644" s="61"/>
      <c r="R1644" s="61"/>
      <c r="S1644" s="61"/>
      <c r="T1644" s="61"/>
      <c r="U1644" s="61"/>
      <c r="V1644" s="61"/>
      <c r="W1644" s="61"/>
      <c r="X1644" s="61"/>
      <c r="Y1644" s="61"/>
      <c r="Z1644" s="61"/>
    </row>
    <row r="1645" spans="1:26" ht="13">
      <c r="A1645" s="61"/>
      <c r="B1645" s="61"/>
      <c r="C1645" s="61"/>
      <c r="D1645" s="61"/>
      <c r="E1645" s="61"/>
      <c r="F1645" s="61"/>
      <c r="G1645" s="179"/>
      <c r="H1645" s="61"/>
      <c r="I1645" s="61"/>
      <c r="J1645" s="61"/>
      <c r="K1645" s="61"/>
      <c r="L1645" s="61"/>
      <c r="M1645" s="61"/>
      <c r="N1645" s="61"/>
      <c r="O1645" s="61"/>
      <c r="P1645" s="61"/>
      <c r="Q1645" s="61"/>
      <c r="R1645" s="61"/>
      <c r="S1645" s="61"/>
      <c r="T1645" s="61"/>
      <c r="U1645" s="61"/>
      <c r="V1645" s="61"/>
      <c r="W1645" s="61"/>
      <c r="X1645" s="61"/>
      <c r="Y1645" s="61"/>
      <c r="Z1645" s="61"/>
    </row>
    <row r="1646" spans="1:26" ht="13">
      <c r="A1646" s="61"/>
      <c r="B1646" s="61"/>
      <c r="C1646" s="61"/>
      <c r="D1646" s="61"/>
      <c r="E1646" s="61"/>
      <c r="F1646" s="61"/>
      <c r="G1646" s="179"/>
      <c r="H1646" s="61"/>
      <c r="I1646" s="61"/>
      <c r="J1646" s="61"/>
      <c r="K1646" s="61"/>
      <c r="L1646" s="61"/>
      <c r="M1646" s="61"/>
      <c r="N1646" s="61"/>
      <c r="O1646" s="61"/>
      <c r="P1646" s="61"/>
      <c r="Q1646" s="61"/>
      <c r="R1646" s="61"/>
      <c r="S1646" s="61"/>
      <c r="T1646" s="61"/>
      <c r="U1646" s="61"/>
      <c r="V1646" s="61"/>
      <c r="W1646" s="61"/>
      <c r="X1646" s="61"/>
      <c r="Y1646" s="61"/>
      <c r="Z1646" s="61"/>
    </row>
    <row r="1647" spans="1:26" ht="13">
      <c r="A1647" s="61"/>
      <c r="B1647" s="61"/>
      <c r="C1647" s="61"/>
      <c r="D1647" s="61"/>
      <c r="E1647" s="61"/>
      <c r="F1647" s="61"/>
      <c r="G1647" s="179"/>
      <c r="H1647" s="61"/>
      <c r="I1647" s="61"/>
      <c r="J1647" s="61"/>
      <c r="K1647" s="61"/>
      <c r="L1647" s="61"/>
      <c r="M1647" s="61"/>
      <c r="N1647" s="61"/>
      <c r="O1647" s="61"/>
      <c r="P1647" s="61"/>
      <c r="Q1647" s="61"/>
      <c r="R1647" s="61"/>
      <c r="S1647" s="61"/>
      <c r="T1647" s="61"/>
      <c r="U1647" s="61"/>
      <c r="V1647" s="61"/>
      <c r="W1647" s="61"/>
      <c r="X1647" s="61"/>
      <c r="Y1647" s="61"/>
      <c r="Z1647" s="61"/>
    </row>
    <row r="1648" spans="1:26" ht="13">
      <c r="A1648" s="61"/>
      <c r="B1648" s="61"/>
      <c r="C1648" s="61"/>
      <c r="D1648" s="61"/>
      <c r="E1648" s="61"/>
      <c r="F1648" s="61"/>
      <c r="G1648" s="179"/>
      <c r="H1648" s="61"/>
      <c r="I1648" s="61"/>
      <c r="J1648" s="61"/>
      <c r="K1648" s="61"/>
      <c r="L1648" s="61"/>
      <c r="M1648" s="61"/>
      <c r="N1648" s="61"/>
      <c r="O1648" s="61"/>
      <c r="P1648" s="61"/>
      <c r="Q1648" s="61"/>
      <c r="R1648" s="61"/>
      <c r="S1648" s="61"/>
      <c r="T1648" s="61"/>
      <c r="U1648" s="61"/>
      <c r="V1648" s="61"/>
      <c r="W1648" s="61"/>
      <c r="X1648" s="61"/>
      <c r="Y1648" s="61"/>
      <c r="Z1648" s="61"/>
    </row>
    <row r="1649" spans="1:26" ht="13">
      <c r="A1649" s="61"/>
      <c r="B1649" s="61"/>
      <c r="C1649" s="61"/>
      <c r="D1649" s="61"/>
      <c r="E1649" s="61"/>
      <c r="F1649" s="61"/>
      <c r="G1649" s="179"/>
      <c r="H1649" s="61"/>
      <c r="I1649" s="61"/>
      <c r="J1649" s="61"/>
      <c r="K1649" s="61"/>
      <c r="L1649" s="61"/>
      <c r="M1649" s="61"/>
      <c r="N1649" s="61"/>
      <c r="O1649" s="61"/>
      <c r="P1649" s="61"/>
      <c r="Q1649" s="61"/>
      <c r="R1649" s="61"/>
      <c r="S1649" s="61"/>
      <c r="T1649" s="61"/>
      <c r="U1649" s="61"/>
      <c r="V1649" s="61"/>
      <c r="W1649" s="61"/>
      <c r="X1649" s="61"/>
      <c r="Y1649" s="61"/>
      <c r="Z1649" s="61"/>
    </row>
    <row r="1650" spans="1:26" ht="13">
      <c r="A1650" s="61"/>
      <c r="B1650" s="61"/>
      <c r="C1650" s="61"/>
      <c r="D1650" s="61"/>
      <c r="E1650" s="61"/>
      <c r="F1650" s="61"/>
      <c r="G1650" s="179"/>
      <c r="H1650" s="61"/>
      <c r="I1650" s="61"/>
      <c r="J1650" s="61"/>
      <c r="K1650" s="61"/>
      <c r="L1650" s="61"/>
      <c r="M1650" s="61"/>
      <c r="N1650" s="61"/>
      <c r="O1650" s="61"/>
      <c r="P1650" s="61"/>
      <c r="Q1650" s="61"/>
      <c r="R1650" s="61"/>
      <c r="S1650" s="61"/>
      <c r="T1650" s="61"/>
      <c r="U1650" s="61"/>
      <c r="V1650" s="61"/>
      <c r="W1650" s="61"/>
      <c r="X1650" s="61"/>
      <c r="Y1650" s="61"/>
      <c r="Z1650" s="61"/>
    </row>
    <row r="1651" spans="1:26" ht="13">
      <c r="A1651" s="61"/>
      <c r="B1651" s="61"/>
      <c r="C1651" s="61"/>
      <c r="D1651" s="61"/>
      <c r="E1651" s="61"/>
      <c r="F1651" s="61"/>
      <c r="G1651" s="179"/>
      <c r="H1651" s="61"/>
      <c r="I1651" s="61"/>
      <c r="J1651" s="61"/>
      <c r="K1651" s="61"/>
      <c r="L1651" s="61"/>
      <c r="M1651" s="61"/>
      <c r="N1651" s="61"/>
      <c r="O1651" s="61"/>
      <c r="P1651" s="61"/>
      <c r="Q1651" s="61"/>
      <c r="R1651" s="61"/>
      <c r="S1651" s="61"/>
      <c r="T1651" s="61"/>
      <c r="U1651" s="61"/>
      <c r="V1651" s="61"/>
      <c r="W1651" s="61"/>
      <c r="X1651" s="61"/>
      <c r="Y1651" s="61"/>
      <c r="Z1651" s="61"/>
    </row>
    <row r="1652" spans="1:26" ht="13">
      <c r="A1652" s="61"/>
      <c r="B1652" s="61"/>
      <c r="C1652" s="61"/>
      <c r="D1652" s="61"/>
      <c r="E1652" s="61"/>
      <c r="F1652" s="61"/>
      <c r="G1652" s="179"/>
      <c r="H1652" s="61"/>
      <c r="I1652" s="61"/>
      <c r="J1652" s="61"/>
      <c r="K1652" s="61"/>
      <c r="L1652" s="61"/>
      <c r="M1652" s="61"/>
      <c r="N1652" s="61"/>
      <c r="O1652" s="61"/>
      <c r="P1652" s="61"/>
      <c r="Q1652" s="61"/>
      <c r="R1652" s="61"/>
      <c r="S1652" s="61"/>
      <c r="T1652" s="61"/>
      <c r="U1652" s="61"/>
      <c r="V1652" s="61"/>
      <c r="W1652" s="61"/>
      <c r="X1652" s="61"/>
      <c r="Y1652" s="61"/>
      <c r="Z1652" s="61"/>
    </row>
    <row r="1653" spans="1:26" ht="13">
      <c r="A1653" s="61"/>
      <c r="B1653" s="61"/>
      <c r="C1653" s="61"/>
      <c r="D1653" s="61"/>
      <c r="E1653" s="61"/>
      <c r="F1653" s="61"/>
      <c r="G1653" s="179"/>
      <c r="H1653" s="61"/>
      <c r="I1653" s="61"/>
      <c r="J1653" s="61"/>
      <c r="K1653" s="61"/>
      <c r="L1653" s="61"/>
      <c r="M1653" s="61"/>
      <c r="N1653" s="61"/>
      <c r="O1653" s="61"/>
      <c r="P1653" s="61"/>
      <c r="Q1653" s="61"/>
      <c r="R1653" s="61"/>
      <c r="S1653" s="61"/>
      <c r="T1653" s="61"/>
      <c r="U1653" s="61"/>
      <c r="V1653" s="61"/>
      <c r="W1653" s="61"/>
      <c r="X1653" s="61"/>
      <c r="Y1653" s="61"/>
      <c r="Z1653" s="61"/>
    </row>
    <row r="1654" spans="1:26" ht="13">
      <c r="A1654" s="61"/>
      <c r="B1654" s="61"/>
      <c r="C1654" s="61"/>
      <c r="D1654" s="61"/>
      <c r="E1654" s="61"/>
      <c r="F1654" s="61"/>
      <c r="G1654" s="179"/>
      <c r="H1654" s="61"/>
      <c r="I1654" s="61"/>
      <c r="J1654" s="61"/>
      <c r="K1654" s="61"/>
      <c r="L1654" s="61"/>
      <c r="M1654" s="61"/>
      <c r="N1654" s="61"/>
      <c r="O1654" s="61"/>
      <c r="P1654" s="61"/>
      <c r="Q1654" s="61"/>
      <c r="R1654" s="61"/>
      <c r="S1654" s="61"/>
      <c r="T1654" s="61"/>
      <c r="U1654" s="61"/>
      <c r="V1654" s="61"/>
      <c r="W1654" s="61"/>
      <c r="X1654" s="61"/>
      <c r="Y1654" s="61"/>
      <c r="Z1654" s="61"/>
    </row>
    <row r="1655" spans="1:26" ht="13">
      <c r="A1655" s="61"/>
      <c r="B1655" s="61"/>
      <c r="C1655" s="61"/>
      <c r="D1655" s="61"/>
      <c r="E1655" s="61"/>
      <c r="F1655" s="61"/>
      <c r="G1655" s="179"/>
      <c r="H1655" s="61"/>
      <c r="I1655" s="61"/>
      <c r="J1655" s="61"/>
      <c r="K1655" s="61"/>
      <c r="L1655" s="61"/>
      <c r="M1655" s="61"/>
      <c r="N1655" s="61"/>
      <c r="O1655" s="61"/>
      <c r="P1655" s="61"/>
      <c r="Q1655" s="61"/>
      <c r="R1655" s="61"/>
      <c r="S1655" s="61"/>
      <c r="T1655" s="61"/>
      <c r="U1655" s="61"/>
      <c r="V1655" s="61"/>
      <c r="W1655" s="61"/>
      <c r="X1655" s="61"/>
      <c r="Y1655" s="61"/>
      <c r="Z1655" s="61"/>
    </row>
    <row r="1656" spans="1:26" ht="13">
      <c r="A1656" s="61"/>
      <c r="B1656" s="61"/>
      <c r="C1656" s="61"/>
      <c r="D1656" s="61"/>
      <c r="E1656" s="61"/>
      <c r="F1656" s="61"/>
      <c r="G1656" s="179"/>
      <c r="H1656" s="61"/>
      <c r="I1656" s="61"/>
      <c r="J1656" s="61"/>
      <c r="K1656" s="61"/>
      <c r="L1656" s="61"/>
      <c r="M1656" s="61"/>
      <c r="N1656" s="61"/>
      <c r="O1656" s="61"/>
      <c r="P1656" s="61"/>
      <c r="Q1656" s="61"/>
      <c r="R1656" s="61"/>
      <c r="S1656" s="61"/>
      <c r="T1656" s="61"/>
      <c r="U1656" s="61"/>
      <c r="V1656" s="61"/>
      <c r="W1656" s="61"/>
      <c r="X1656" s="61"/>
      <c r="Y1656" s="61"/>
      <c r="Z1656" s="61"/>
    </row>
    <row r="1657" spans="1:26" ht="13">
      <c r="A1657" s="61"/>
      <c r="B1657" s="61"/>
      <c r="C1657" s="61"/>
      <c r="D1657" s="61"/>
      <c r="E1657" s="61"/>
      <c r="F1657" s="61"/>
      <c r="G1657" s="179"/>
      <c r="H1657" s="61"/>
      <c r="I1657" s="61"/>
      <c r="J1657" s="61"/>
      <c r="K1657" s="61"/>
      <c r="L1657" s="61"/>
      <c r="M1657" s="61"/>
      <c r="N1657" s="61"/>
      <c r="O1657" s="61"/>
      <c r="P1657" s="61"/>
      <c r="Q1657" s="61"/>
      <c r="R1657" s="61"/>
      <c r="S1657" s="61"/>
      <c r="T1657" s="61"/>
      <c r="U1657" s="61"/>
      <c r="V1657" s="61"/>
      <c r="W1657" s="61"/>
      <c r="X1657" s="61"/>
      <c r="Y1657" s="61"/>
      <c r="Z1657" s="61"/>
    </row>
    <row r="1658" spans="1:26" ht="13">
      <c r="A1658" s="61"/>
      <c r="B1658" s="61"/>
      <c r="C1658" s="61"/>
      <c r="D1658" s="61"/>
      <c r="E1658" s="61"/>
      <c r="F1658" s="61"/>
      <c r="G1658" s="179"/>
      <c r="H1658" s="61"/>
      <c r="I1658" s="61"/>
      <c r="J1658" s="61"/>
      <c r="K1658" s="61"/>
      <c r="L1658" s="61"/>
      <c r="M1658" s="61"/>
      <c r="N1658" s="61"/>
      <c r="O1658" s="61"/>
      <c r="P1658" s="61"/>
      <c r="Q1658" s="61"/>
      <c r="R1658" s="61"/>
      <c r="S1658" s="61"/>
      <c r="T1658" s="61"/>
      <c r="U1658" s="61"/>
      <c r="V1658" s="61"/>
      <c r="W1658" s="61"/>
      <c r="X1658" s="61"/>
      <c r="Y1658" s="61"/>
      <c r="Z1658" s="61"/>
    </row>
    <row r="1659" spans="1:26" ht="13">
      <c r="A1659" s="61"/>
      <c r="B1659" s="61"/>
      <c r="C1659" s="61"/>
      <c r="D1659" s="61"/>
      <c r="E1659" s="61"/>
      <c r="F1659" s="61"/>
      <c r="G1659" s="179"/>
      <c r="H1659" s="61"/>
      <c r="I1659" s="61"/>
      <c r="J1659" s="61"/>
      <c r="K1659" s="61"/>
      <c r="L1659" s="61"/>
      <c r="M1659" s="61"/>
      <c r="N1659" s="61"/>
      <c r="O1659" s="61"/>
      <c r="P1659" s="61"/>
      <c r="Q1659" s="61"/>
      <c r="R1659" s="61"/>
      <c r="S1659" s="61"/>
      <c r="T1659" s="61"/>
      <c r="U1659" s="61"/>
      <c r="V1659" s="61"/>
      <c r="W1659" s="61"/>
      <c r="X1659" s="61"/>
      <c r="Y1659" s="61"/>
      <c r="Z1659" s="61"/>
    </row>
    <row r="1660" spans="1:26" ht="13">
      <c r="A1660" s="61"/>
      <c r="B1660" s="61"/>
      <c r="C1660" s="61"/>
      <c r="D1660" s="61"/>
      <c r="E1660" s="61"/>
      <c r="F1660" s="61"/>
      <c r="G1660" s="179"/>
      <c r="H1660" s="61"/>
      <c r="I1660" s="61"/>
      <c r="J1660" s="61"/>
      <c r="K1660" s="61"/>
      <c r="L1660" s="61"/>
      <c r="M1660" s="61"/>
      <c r="N1660" s="61"/>
      <c r="O1660" s="61"/>
      <c r="P1660" s="61"/>
      <c r="Q1660" s="61"/>
      <c r="R1660" s="61"/>
      <c r="S1660" s="61"/>
      <c r="T1660" s="61"/>
      <c r="U1660" s="61"/>
      <c r="V1660" s="61"/>
      <c r="W1660" s="61"/>
      <c r="X1660" s="61"/>
      <c r="Y1660" s="61"/>
      <c r="Z1660" s="61"/>
    </row>
    <row r="1661" spans="1:26" ht="13">
      <c r="A1661" s="61"/>
      <c r="B1661" s="61"/>
      <c r="C1661" s="61"/>
      <c r="D1661" s="61"/>
      <c r="E1661" s="61"/>
      <c r="F1661" s="61"/>
      <c r="G1661" s="179"/>
      <c r="H1661" s="61"/>
      <c r="I1661" s="61"/>
      <c r="J1661" s="61"/>
      <c r="K1661" s="61"/>
      <c r="L1661" s="61"/>
      <c r="M1661" s="61"/>
      <c r="N1661" s="61"/>
      <c r="O1661" s="61"/>
      <c r="P1661" s="61"/>
      <c r="Q1661" s="61"/>
      <c r="R1661" s="61"/>
      <c r="S1661" s="61"/>
      <c r="T1661" s="61"/>
      <c r="U1661" s="61"/>
      <c r="V1661" s="61"/>
      <c r="W1661" s="61"/>
      <c r="X1661" s="61"/>
      <c r="Y1661" s="61"/>
      <c r="Z1661" s="61"/>
    </row>
    <row r="1662" spans="1:26" ht="13">
      <c r="A1662" s="61"/>
      <c r="B1662" s="61"/>
      <c r="C1662" s="61"/>
      <c r="D1662" s="61"/>
      <c r="E1662" s="61"/>
      <c r="F1662" s="61"/>
      <c r="G1662" s="179"/>
      <c r="H1662" s="61"/>
      <c r="I1662" s="61"/>
      <c r="J1662" s="61"/>
      <c r="K1662" s="61"/>
      <c r="L1662" s="61"/>
      <c r="M1662" s="61"/>
      <c r="N1662" s="61"/>
      <c r="O1662" s="61"/>
      <c r="P1662" s="61"/>
      <c r="Q1662" s="61"/>
      <c r="R1662" s="61"/>
      <c r="S1662" s="61"/>
      <c r="T1662" s="61"/>
      <c r="U1662" s="61"/>
      <c r="V1662" s="61"/>
      <c r="W1662" s="61"/>
      <c r="X1662" s="61"/>
      <c r="Y1662" s="61"/>
      <c r="Z1662" s="61"/>
    </row>
    <row r="1663" spans="1:26" ht="13">
      <c r="A1663" s="61"/>
      <c r="B1663" s="61"/>
      <c r="C1663" s="61"/>
      <c r="D1663" s="61"/>
      <c r="E1663" s="61"/>
      <c r="F1663" s="61"/>
      <c r="G1663" s="179"/>
      <c r="H1663" s="61"/>
      <c r="I1663" s="61"/>
      <c r="J1663" s="61"/>
      <c r="K1663" s="61"/>
      <c r="L1663" s="61"/>
      <c r="M1663" s="61"/>
      <c r="N1663" s="61"/>
      <c r="O1663" s="61"/>
      <c r="P1663" s="61"/>
      <c r="Q1663" s="61"/>
      <c r="R1663" s="61"/>
      <c r="S1663" s="61"/>
      <c r="T1663" s="61"/>
      <c r="U1663" s="61"/>
      <c r="V1663" s="61"/>
      <c r="W1663" s="61"/>
      <c r="X1663" s="61"/>
      <c r="Y1663" s="61"/>
      <c r="Z1663" s="61"/>
    </row>
    <row r="1664" spans="1:26" ht="13">
      <c r="A1664" s="61"/>
      <c r="B1664" s="61"/>
      <c r="C1664" s="61"/>
      <c r="D1664" s="61"/>
      <c r="E1664" s="61"/>
      <c r="F1664" s="61"/>
      <c r="G1664" s="179"/>
      <c r="H1664" s="61"/>
      <c r="I1664" s="61"/>
      <c r="J1664" s="61"/>
      <c r="K1664" s="61"/>
      <c r="L1664" s="61"/>
      <c r="M1664" s="61"/>
      <c r="N1664" s="61"/>
      <c r="O1664" s="61"/>
      <c r="P1664" s="61"/>
      <c r="Q1664" s="61"/>
      <c r="R1664" s="61"/>
      <c r="S1664" s="61"/>
      <c r="T1664" s="61"/>
      <c r="U1664" s="61"/>
      <c r="V1664" s="61"/>
      <c r="W1664" s="61"/>
      <c r="X1664" s="61"/>
      <c r="Y1664" s="61"/>
      <c r="Z1664" s="61"/>
    </row>
    <row r="1665" spans="1:26" ht="13">
      <c r="A1665" s="61"/>
      <c r="B1665" s="61"/>
      <c r="C1665" s="61"/>
      <c r="D1665" s="61"/>
      <c r="E1665" s="61"/>
      <c r="F1665" s="61"/>
      <c r="G1665" s="179"/>
      <c r="H1665" s="61"/>
      <c r="I1665" s="61"/>
      <c r="J1665" s="61"/>
      <c r="K1665" s="61"/>
      <c r="L1665" s="61"/>
      <c r="M1665" s="61"/>
      <c r="N1665" s="61"/>
      <c r="O1665" s="61"/>
      <c r="P1665" s="61"/>
      <c r="Q1665" s="61"/>
      <c r="R1665" s="61"/>
      <c r="S1665" s="61"/>
      <c r="T1665" s="61"/>
      <c r="U1665" s="61"/>
      <c r="V1665" s="61"/>
      <c r="W1665" s="61"/>
      <c r="X1665" s="61"/>
      <c r="Y1665" s="61"/>
      <c r="Z1665" s="61"/>
    </row>
    <row r="1666" spans="1:26" ht="13">
      <c r="A1666" s="61"/>
      <c r="B1666" s="61"/>
      <c r="C1666" s="61"/>
      <c r="D1666" s="61"/>
      <c r="E1666" s="61"/>
      <c r="F1666" s="61"/>
      <c r="G1666" s="179"/>
      <c r="H1666" s="61"/>
      <c r="I1666" s="61"/>
      <c r="J1666" s="61"/>
      <c r="K1666" s="61"/>
      <c r="L1666" s="61"/>
      <c r="M1666" s="61"/>
      <c r="N1666" s="61"/>
      <c r="O1666" s="61"/>
      <c r="P1666" s="61"/>
      <c r="Q1666" s="61"/>
      <c r="R1666" s="61"/>
      <c r="S1666" s="61"/>
      <c r="T1666" s="61"/>
      <c r="U1666" s="61"/>
      <c r="V1666" s="61"/>
      <c r="W1666" s="61"/>
      <c r="X1666" s="61"/>
      <c r="Y1666" s="61"/>
      <c r="Z1666" s="61"/>
    </row>
    <row r="1667" spans="1:26" ht="13">
      <c r="A1667" s="61"/>
      <c r="B1667" s="61"/>
      <c r="C1667" s="61"/>
      <c r="D1667" s="61"/>
      <c r="E1667" s="61"/>
      <c r="F1667" s="61"/>
      <c r="G1667" s="179"/>
      <c r="H1667" s="61"/>
      <c r="I1667" s="61"/>
      <c r="J1667" s="61"/>
      <c r="K1667" s="61"/>
      <c r="L1667" s="61"/>
      <c r="M1667" s="61"/>
      <c r="N1667" s="61"/>
      <c r="O1667" s="61"/>
      <c r="P1667" s="61"/>
      <c r="Q1667" s="61"/>
      <c r="R1667" s="61"/>
      <c r="S1667" s="61"/>
      <c r="T1667" s="61"/>
      <c r="U1667" s="61"/>
      <c r="V1667" s="61"/>
      <c r="W1667" s="61"/>
      <c r="X1667" s="61"/>
      <c r="Y1667" s="61"/>
      <c r="Z1667" s="61"/>
    </row>
    <row r="1668" spans="1:26" ht="13">
      <c r="A1668" s="61"/>
      <c r="B1668" s="61"/>
      <c r="C1668" s="61"/>
      <c r="D1668" s="61"/>
      <c r="E1668" s="61"/>
      <c r="F1668" s="61"/>
      <c r="G1668" s="179"/>
      <c r="H1668" s="61"/>
      <c r="I1668" s="61"/>
      <c r="J1668" s="61"/>
      <c r="K1668" s="61"/>
      <c r="L1668" s="61"/>
      <c r="M1668" s="61"/>
      <c r="N1668" s="61"/>
      <c r="O1668" s="61"/>
      <c r="P1668" s="61"/>
      <c r="Q1668" s="61"/>
      <c r="R1668" s="61"/>
      <c r="S1668" s="61"/>
      <c r="T1668" s="61"/>
      <c r="U1668" s="61"/>
      <c r="V1668" s="61"/>
      <c r="W1668" s="61"/>
      <c r="X1668" s="61"/>
      <c r="Y1668" s="61"/>
      <c r="Z1668" s="61"/>
    </row>
    <row r="1669" spans="1:26" ht="13">
      <c r="A1669" s="61"/>
      <c r="B1669" s="61"/>
      <c r="C1669" s="61"/>
      <c r="D1669" s="61"/>
      <c r="E1669" s="61"/>
      <c r="F1669" s="61"/>
      <c r="G1669" s="179"/>
      <c r="H1669" s="61"/>
      <c r="I1669" s="61"/>
      <c r="J1669" s="61"/>
      <c r="K1669" s="61"/>
      <c r="L1669" s="61"/>
      <c r="M1669" s="61"/>
      <c r="N1669" s="61"/>
      <c r="O1669" s="61"/>
      <c r="P1669" s="61"/>
      <c r="Q1669" s="61"/>
      <c r="R1669" s="61"/>
      <c r="S1669" s="61"/>
      <c r="T1669" s="61"/>
      <c r="U1669" s="61"/>
      <c r="V1669" s="61"/>
      <c r="W1669" s="61"/>
      <c r="X1669" s="61"/>
      <c r="Y1669" s="61"/>
      <c r="Z1669" s="61"/>
    </row>
    <row r="1670" spans="1:26" ht="13">
      <c r="A1670" s="61"/>
      <c r="B1670" s="61"/>
      <c r="C1670" s="61"/>
      <c r="D1670" s="61"/>
      <c r="E1670" s="61"/>
      <c r="F1670" s="61"/>
      <c r="G1670" s="179"/>
      <c r="H1670" s="61"/>
      <c r="I1670" s="61"/>
      <c r="J1670" s="61"/>
      <c r="K1670" s="61"/>
      <c r="L1670" s="61"/>
      <c r="M1670" s="61"/>
      <c r="N1670" s="61"/>
      <c r="O1670" s="61"/>
      <c r="P1670" s="61"/>
      <c r="Q1670" s="61"/>
      <c r="R1670" s="61"/>
      <c r="S1670" s="61"/>
      <c r="T1670" s="61"/>
      <c r="U1670" s="61"/>
      <c r="V1670" s="61"/>
      <c r="W1670" s="61"/>
      <c r="X1670" s="61"/>
      <c r="Y1670" s="61"/>
      <c r="Z1670" s="61"/>
    </row>
    <row r="1671" spans="1:26" ht="13">
      <c r="A1671" s="61"/>
      <c r="B1671" s="61"/>
      <c r="C1671" s="61"/>
      <c r="D1671" s="61"/>
      <c r="E1671" s="61"/>
      <c r="F1671" s="61"/>
      <c r="G1671" s="179"/>
      <c r="H1671" s="61"/>
      <c r="I1671" s="61"/>
      <c r="J1671" s="61"/>
      <c r="K1671" s="61"/>
      <c r="L1671" s="61"/>
      <c r="M1671" s="61"/>
      <c r="N1671" s="61"/>
      <c r="O1671" s="61"/>
      <c r="P1671" s="61"/>
      <c r="Q1671" s="61"/>
      <c r="R1671" s="61"/>
      <c r="S1671" s="61"/>
      <c r="T1671" s="61"/>
      <c r="U1671" s="61"/>
      <c r="V1671" s="61"/>
      <c r="W1671" s="61"/>
      <c r="X1671" s="61"/>
      <c r="Y1671" s="61"/>
      <c r="Z1671" s="61"/>
    </row>
    <row r="1672" spans="1:26" ht="13">
      <c r="A1672" s="61"/>
      <c r="B1672" s="61"/>
      <c r="C1672" s="61"/>
      <c r="D1672" s="61"/>
      <c r="E1672" s="61"/>
      <c r="F1672" s="61"/>
      <c r="G1672" s="179"/>
      <c r="H1672" s="61"/>
      <c r="I1672" s="61"/>
      <c r="J1672" s="61"/>
      <c r="K1672" s="61"/>
      <c r="L1672" s="61"/>
      <c r="M1672" s="61"/>
      <c r="N1672" s="61"/>
      <c r="O1672" s="61"/>
      <c r="P1672" s="61"/>
      <c r="Q1672" s="61"/>
      <c r="R1672" s="61"/>
      <c r="S1672" s="61"/>
      <c r="T1672" s="61"/>
      <c r="U1672" s="61"/>
      <c r="V1672" s="61"/>
      <c r="W1672" s="61"/>
      <c r="X1672" s="61"/>
      <c r="Y1672" s="61"/>
      <c r="Z1672" s="61"/>
    </row>
    <row r="1673" spans="1:26" ht="13">
      <c r="A1673" s="61"/>
      <c r="B1673" s="61"/>
      <c r="C1673" s="61"/>
      <c r="D1673" s="61"/>
      <c r="E1673" s="61"/>
      <c r="F1673" s="61"/>
      <c r="G1673" s="179"/>
      <c r="H1673" s="61"/>
      <c r="I1673" s="61"/>
      <c r="J1673" s="61"/>
      <c r="K1673" s="61"/>
      <c r="L1673" s="61"/>
      <c r="M1673" s="61"/>
      <c r="N1673" s="61"/>
      <c r="O1673" s="61"/>
      <c r="P1673" s="61"/>
      <c r="Q1673" s="61"/>
      <c r="R1673" s="61"/>
      <c r="S1673" s="61"/>
      <c r="T1673" s="61"/>
      <c r="U1673" s="61"/>
      <c r="V1673" s="61"/>
      <c r="W1673" s="61"/>
      <c r="X1673" s="61"/>
      <c r="Y1673" s="61"/>
      <c r="Z1673" s="61"/>
    </row>
    <row r="1674" spans="1:26" ht="13">
      <c r="A1674" s="61"/>
      <c r="B1674" s="61"/>
      <c r="C1674" s="61"/>
      <c r="D1674" s="61"/>
      <c r="E1674" s="61"/>
      <c r="F1674" s="61"/>
      <c r="G1674" s="179"/>
      <c r="H1674" s="61"/>
      <c r="I1674" s="61"/>
      <c r="J1674" s="61"/>
      <c r="K1674" s="61"/>
      <c r="L1674" s="61"/>
      <c r="M1674" s="61"/>
      <c r="N1674" s="61"/>
      <c r="O1674" s="61"/>
      <c r="P1674" s="61"/>
      <c r="Q1674" s="61"/>
      <c r="R1674" s="61"/>
      <c r="S1674" s="61"/>
      <c r="T1674" s="61"/>
      <c r="U1674" s="61"/>
      <c r="V1674" s="61"/>
      <c r="W1674" s="61"/>
      <c r="X1674" s="61"/>
      <c r="Y1674" s="61"/>
      <c r="Z1674" s="61"/>
    </row>
    <row r="1675" spans="1:26" ht="13">
      <c r="A1675" s="61"/>
      <c r="B1675" s="61"/>
      <c r="C1675" s="61"/>
      <c r="D1675" s="61"/>
      <c r="E1675" s="61"/>
      <c r="F1675" s="61"/>
      <c r="G1675" s="179"/>
      <c r="H1675" s="61"/>
      <c r="I1675" s="61"/>
      <c r="J1675" s="61"/>
      <c r="K1675" s="61"/>
      <c r="L1675" s="61"/>
      <c r="M1675" s="61"/>
      <c r="N1675" s="61"/>
      <c r="O1675" s="61"/>
      <c r="P1675" s="61"/>
      <c r="Q1675" s="61"/>
      <c r="R1675" s="61"/>
      <c r="S1675" s="61"/>
      <c r="T1675" s="61"/>
      <c r="U1675" s="61"/>
      <c r="V1675" s="61"/>
      <c r="W1675" s="61"/>
      <c r="X1675" s="61"/>
      <c r="Y1675" s="61"/>
      <c r="Z1675" s="61"/>
    </row>
    <row r="1676" spans="1:26" ht="13">
      <c r="A1676" s="61"/>
      <c r="B1676" s="61"/>
      <c r="C1676" s="61"/>
      <c r="D1676" s="61"/>
      <c r="E1676" s="61"/>
      <c r="F1676" s="61"/>
      <c r="G1676" s="179"/>
      <c r="H1676" s="61"/>
      <c r="I1676" s="61"/>
      <c r="J1676" s="61"/>
      <c r="K1676" s="61"/>
      <c r="L1676" s="61"/>
      <c r="M1676" s="61"/>
      <c r="N1676" s="61"/>
      <c r="O1676" s="61"/>
      <c r="P1676" s="61"/>
      <c r="Q1676" s="61"/>
      <c r="R1676" s="61"/>
      <c r="S1676" s="61"/>
      <c r="T1676" s="61"/>
      <c r="U1676" s="61"/>
      <c r="V1676" s="61"/>
      <c r="W1676" s="61"/>
      <c r="X1676" s="61"/>
      <c r="Y1676" s="61"/>
      <c r="Z1676" s="61"/>
    </row>
    <row r="1677" spans="1:26" ht="13">
      <c r="A1677" s="61"/>
      <c r="B1677" s="61"/>
      <c r="C1677" s="61"/>
      <c r="D1677" s="61"/>
      <c r="E1677" s="61"/>
      <c r="F1677" s="61"/>
      <c r="G1677" s="179"/>
      <c r="H1677" s="61"/>
      <c r="I1677" s="61"/>
      <c r="J1677" s="61"/>
      <c r="K1677" s="61"/>
      <c r="L1677" s="61"/>
      <c r="M1677" s="61"/>
      <c r="N1677" s="61"/>
      <c r="O1677" s="61"/>
      <c r="P1677" s="61"/>
      <c r="Q1677" s="61"/>
      <c r="R1677" s="61"/>
      <c r="S1677" s="61"/>
      <c r="T1677" s="61"/>
      <c r="U1677" s="61"/>
      <c r="V1677" s="61"/>
      <c r="W1677" s="61"/>
      <c r="X1677" s="61"/>
      <c r="Y1677" s="61"/>
      <c r="Z1677" s="61"/>
    </row>
    <row r="1678" spans="1:26" ht="13">
      <c r="A1678" s="61"/>
      <c r="B1678" s="61"/>
      <c r="C1678" s="61"/>
      <c r="D1678" s="61"/>
      <c r="E1678" s="61"/>
      <c r="F1678" s="61"/>
      <c r="G1678" s="179"/>
      <c r="H1678" s="61"/>
      <c r="I1678" s="61"/>
      <c r="J1678" s="61"/>
      <c r="K1678" s="61"/>
      <c r="L1678" s="61"/>
      <c r="M1678" s="61"/>
      <c r="N1678" s="61"/>
      <c r="O1678" s="61"/>
      <c r="P1678" s="61"/>
      <c r="Q1678" s="61"/>
      <c r="R1678" s="61"/>
      <c r="S1678" s="61"/>
      <c r="T1678" s="61"/>
      <c r="U1678" s="61"/>
      <c r="V1678" s="61"/>
      <c r="W1678" s="61"/>
      <c r="X1678" s="61"/>
      <c r="Y1678" s="61"/>
      <c r="Z1678" s="61"/>
    </row>
    <row r="1679" spans="1:26" ht="13">
      <c r="A1679" s="61"/>
      <c r="B1679" s="61"/>
      <c r="C1679" s="61"/>
      <c r="D1679" s="61"/>
      <c r="E1679" s="61"/>
      <c r="F1679" s="61"/>
      <c r="G1679" s="179"/>
      <c r="H1679" s="61"/>
      <c r="I1679" s="61"/>
      <c r="J1679" s="61"/>
      <c r="K1679" s="61"/>
      <c r="L1679" s="61"/>
      <c r="M1679" s="61"/>
      <c r="N1679" s="61"/>
      <c r="O1679" s="61"/>
      <c r="P1679" s="61"/>
      <c r="Q1679" s="61"/>
      <c r="R1679" s="61"/>
      <c r="S1679" s="61"/>
      <c r="T1679" s="61"/>
      <c r="U1679" s="61"/>
      <c r="V1679" s="61"/>
      <c r="W1679" s="61"/>
      <c r="X1679" s="61"/>
      <c r="Y1679" s="61"/>
      <c r="Z1679" s="61"/>
    </row>
    <row r="1680" spans="1:26" ht="13">
      <c r="A1680" s="61"/>
      <c r="B1680" s="61"/>
      <c r="C1680" s="61"/>
      <c r="D1680" s="61"/>
      <c r="E1680" s="61"/>
      <c r="F1680" s="61"/>
      <c r="G1680" s="179"/>
      <c r="H1680" s="61"/>
      <c r="I1680" s="61"/>
      <c r="J1680" s="61"/>
      <c r="K1680" s="61"/>
      <c r="L1680" s="61"/>
      <c r="M1680" s="61"/>
      <c r="N1680" s="61"/>
      <c r="O1680" s="61"/>
      <c r="P1680" s="61"/>
      <c r="Q1680" s="61"/>
      <c r="R1680" s="61"/>
      <c r="S1680" s="61"/>
      <c r="T1680" s="61"/>
      <c r="U1680" s="61"/>
      <c r="V1680" s="61"/>
      <c r="W1680" s="61"/>
      <c r="X1680" s="61"/>
      <c r="Y1680" s="61"/>
      <c r="Z1680" s="61"/>
    </row>
    <row r="1681" spans="1:26" ht="13">
      <c r="A1681" s="61"/>
      <c r="B1681" s="61"/>
      <c r="C1681" s="61"/>
      <c r="D1681" s="61"/>
      <c r="E1681" s="61"/>
      <c r="F1681" s="61"/>
      <c r="G1681" s="179"/>
      <c r="H1681" s="61"/>
      <c r="I1681" s="61"/>
      <c r="J1681" s="61"/>
      <c r="K1681" s="61"/>
      <c r="L1681" s="61"/>
      <c r="M1681" s="61"/>
      <c r="N1681" s="61"/>
      <c r="O1681" s="61"/>
      <c r="P1681" s="61"/>
      <c r="Q1681" s="61"/>
      <c r="R1681" s="61"/>
      <c r="S1681" s="61"/>
      <c r="T1681" s="61"/>
      <c r="U1681" s="61"/>
      <c r="V1681" s="61"/>
      <c r="W1681" s="61"/>
      <c r="X1681" s="61"/>
      <c r="Y1681" s="61"/>
      <c r="Z1681" s="61"/>
    </row>
    <row r="1682" spans="1:26" ht="13">
      <c r="A1682" s="61"/>
      <c r="B1682" s="61"/>
      <c r="C1682" s="61"/>
      <c r="D1682" s="61"/>
      <c r="E1682" s="61"/>
      <c r="F1682" s="61"/>
      <c r="G1682" s="179"/>
      <c r="H1682" s="61"/>
      <c r="I1682" s="61"/>
      <c r="J1682" s="61"/>
      <c r="K1682" s="61"/>
      <c r="L1682" s="61"/>
      <c r="M1682" s="61"/>
      <c r="N1682" s="61"/>
      <c r="O1682" s="61"/>
      <c r="P1682" s="61"/>
      <c r="Q1682" s="61"/>
      <c r="R1682" s="61"/>
      <c r="S1682" s="61"/>
      <c r="T1682" s="61"/>
      <c r="U1682" s="61"/>
      <c r="V1682" s="61"/>
      <c r="W1682" s="61"/>
      <c r="X1682" s="61"/>
      <c r="Y1682" s="61"/>
      <c r="Z1682" s="61"/>
    </row>
    <row r="1683" spans="1:26" ht="13">
      <c r="A1683" s="61"/>
      <c r="B1683" s="61"/>
      <c r="C1683" s="61"/>
      <c r="D1683" s="61"/>
      <c r="E1683" s="61"/>
      <c r="F1683" s="61"/>
      <c r="G1683" s="179"/>
      <c r="H1683" s="61"/>
      <c r="I1683" s="61"/>
      <c r="J1683" s="61"/>
      <c r="K1683" s="61"/>
      <c r="L1683" s="61"/>
      <c r="M1683" s="61"/>
      <c r="N1683" s="61"/>
      <c r="O1683" s="61"/>
      <c r="P1683" s="61"/>
      <c r="Q1683" s="61"/>
      <c r="R1683" s="61"/>
      <c r="S1683" s="61"/>
      <c r="T1683" s="61"/>
      <c r="U1683" s="61"/>
      <c r="V1683" s="61"/>
      <c r="W1683" s="61"/>
      <c r="X1683" s="61"/>
      <c r="Y1683" s="61"/>
      <c r="Z1683" s="61"/>
    </row>
    <row r="1684" spans="1:26" ht="13">
      <c r="A1684" s="61"/>
      <c r="B1684" s="61"/>
      <c r="C1684" s="61"/>
      <c r="D1684" s="61"/>
      <c r="E1684" s="61"/>
      <c r="F1684" s="61"/>
      <c r="G1684" s="179"/>
      <c r="H1684" s="61"/>
      <c r="I1684" s="61"/>
      <c r="J1684" s="61"/>
      <c r="K1684" s="61"/>
      <c r="L1684" s="61"/>
      <c r="M1684" s="61"/>
      <c r="N1684" s="61"/>
      <c r="O1684" s="61"/>
      <c r="P1684" s="61"/>
      <c r="Q1684" s="61"/>
      <c r="R1684" s="61"/>
      <c r="S1684" s="61"/>
      <c r="T1684" s="61"/>
      <c r="U1684" s="61"/>
      <c r="V1684" s="61"/>
      <c r="W1684" s="61"/>
      <c r="X1684" s="61"/>
      <c r="Y1684" s="61"/>
      <c r="Z1684" s="61"/>
    </row>
    <row r="1685" spans="1:26" ht="13">
      <c r="A1685" s="61"/>
      <c r="B1685" s="61"/>
      <c r="C1685" s="61"/>
      <c r="D1685" s="61"/>
      <c r="E1685" s="61"/>
      <c r="F1685" s="61"/>
      <c r="G1685" s="179"/>
      <c r="H1685" s="61"/>
      <c r="I1685" s="61"/>
      <c r="J1685" s="61"/>
      <c r="K1685" s="61"/>
      <c r="L1685" s="61"/>
      <c r="M1685" s="61"/>
      <c r="N1685" s="61"/>
      <c r="O1685" s="61"/>
      <c r="P1685" s="61"/>
      <c r="Q1685" s="61"/>
      <c r="R1685" s="61"/>
      <c r="S1685" s="61"/>
      <c r="T1685" s="61"/>
      <c r="U1685" s="61"/>
      <c r="V1685" s="61"/>
      <c r="W1685" s="61"/>
      <c r="X1685" s="61"/>
      <c r="Y1685" s="61"/>
      <c r="Z1685" s="61"/>
    </row>
    <row r="1686" spans="1:26" ht="13">
      <c r="A1686" s="61"/>
      <c r="B1686" s="61"/>
      <c r="C1686" s="61"/>
      <c r="D1686" s="61"/>
      <c r="E1686" s="61"/>
      <c r="F1686" s="61"/>
      <c r="G1686" s="179"/>
      <c r="H1686" s="61"/>
      <c r="I1686" s="61"/>
      <c r="J1686" s="61"/>
      <c r="K1686" s="61"/>
      <c r="L1686" s="61"/>
      <c r="M1686" s="61"/>
      <c r="N1686" s="61"/>
      <c r="O1686" s="61"/>
      <c r="P1686" s="61"/>
      <c r="Q1686" s="61"/>
      <c r="R1686" s="61"/>
      <c r="S1686" s="61"/>
      <c r="T1686" s="61"/>
      <c r="U1686" s="61"/>
      <c r="V1686" s="61"/>
      <c r="W1686" s="61"/>
      <c r="X1686" s="61"/>
      <c r="Y1686" s="61"/>
      <c r="Z1686" s="61"/>
    </row>
    <row r="1687" spans="1:26" ht="13">
      <c r="A1687" s="61"/>
      <c r="B1687" s="61"/>
      <c r="C1687" s="61"/>
      <c r="D1687" s="61"/>
      <c r="E1687" s="61"/>
      <c r="F1687" s="61"/>
      <c r="G1687" s="179"/>
      <c r="H1687" s="61"/>
      <c r="I1687" s="61"/>
      <c r="J1687" s="61"/>
      <c r="K1687" s="61"/>
      <c r="L1687" s="61"/>
      <c r="M1687" s="61"/>
      <c r="N1687" s="61"/>
      <c r="O1687" s="61"/>
      <c r="P1687" s="61"/>
      <c r="Q1687" s="61"/>
      <c r="R1687" s="61"/>
      <c r="S1687" s="61"/>
      <c r="T1687" s="61"/>
      <c r="U1687" s="61"/>
      <c r="V1687" s="61"/>
      <c r="W1687" s="61"/>
      <c r="X1687" s="61"/>
      <c r="Y1687" s="61"/>
      <c r="Z1687" s="61"/>
    </row>
    <row r="1688" spans="1:26" ht="13">
      <c r="A1688" s="61"/>
      <c r="B1688" s="61"/>
      <c r="C1688" s="61"/>
      <c r="D1688" s="61"/>
      <c r="E1688" s="61"/>
      <c r="F1688" s="61"/>
      <c r="G1688" s="179"/>
      <c r="H1688" s="61"/>
      <c r="I1688" s="61"/>
      <c r="J1688" s="61"/>
      <c r="K1688" s="61"/>
      <c r="L1688" s="61"/>
      <c r="M1688" s="61"/>
      <c r="N1688" s="61"/>
      <c r="O1688" s="61"/>
      <c r="P1688" s="61"/>
      <c r="Q1688" s="61"/>
      <c r="R1688" s="61"/>
      <c r="S1688" s="61"/>
      <c r="T1688" s="61"/>
      <c r="U1688" s="61"/>
      <c r="V1688" s="61"/>
      <c r="W1688" s="61"/>
      <c r="X1688" s="61"/>
      <c r="Y1688" s="61"/>
      <c r="Z1688" s="61"/>
    </row>
    <row r="1689" spans="1:26" ht="13">
      <c r="A1689" s="61"/>
      <c r="B1689" s="61"/>
      <c r="C1689" s="61"/>
      <c r="D1689" s="61"/>
      <c r="E1689" s="61"/>
      <c r="F1689" s="61"/>
      <c r="G1689" s="179"/>
      <c r="H1689" s="61"/>
      <c r="I1689" s="61"/>
      <c r="J1689" s="61"/>
      <c r="K1689" s="61"/>
      <c r="L1689" s="61"/>
      <c r="M1689" s="61"/>
      <c r="N1689" s="61"/>
      <c r="O1689" s="61"/>
      <c r="P1689" s="61"/>
      <c r="Q1689" s="61"/>
      <c r="R1689" s="61"/>
      <c r="S1689" s="61"/>
      <c r="T1689" s="61"/>
      <c r="U1689" s="61"/>
      <c r="V1689" s="61"/>
      <c r="W1689" s="61"/>
      <c r="X1689" s="61"/>
      <c r="Y1689" s="61"/>
      <c r="Z1689" s="61"/>
    </row>
    <row r="1690" spans="1:26" ht="13">
      <c r="A1690" s="61"/>
      <c r="B1690" s="61"/>
      <c r="C1690" s="61"/>
      <c r="D1690" s="61"/>
      <c r="E1690" s="61"/>
      <c r="F1690" s="61"/>
      <c r="G1690" s="179"/>
      <c r="H1690" s="61"/>
      <c r="I1690" s="61"/>
      <c r="J1690" s="61"/>
      <c r="K1690" s="61"/>
      <c r="L1690" s="61"/>
      <c r="M1690" s="61"/>
      <c r="N1690" s="61"/>
      <c r="O1690" s="61"/>
      <c r="P1690" s="61"/>
      <c r="Q1690" s="61"/>
      <c r="R1690" s="61"/>
      <c r="S1690" s="61"/>
      <c r="T1690" s="61"/>
      <c r="U1690" s="61"/>
      <c r="V1690" s="61"/>
      <c r="W1690" s="61"/>
      <c r="X1690" s="61"/>
      <c r="Y1690" s="61"/>
      <c r="Z1690" s="61"/>
    </row>
    <row r="1691" spans="1:26" ht="13">
      <c r="A1691" s="61"/>
      <c r="B1691" s="61"/>
      <c r="C1691" s="61"/>
      <c r="D1691" s="61"/>
      <c r="E1691" s="61"/>
      <c r="F1691" s="61"/>
      <c r="G1691" s="179"/>
      <c r="H1691" s="61"/>
      <c r="I1691" s="61"/>
      <c r="J1691" s="61"/>
      <c r="K1691" s="61"/>
      <c r="L1691" s="61"/>
      <c r="M1691" s="61"/>
      <c r="N1691" s="61"/>
      <c r="O1691" s="61"/>
      <c r="P1691" s="61"/>
      <c r="Q1691" s="61"/>
      <c r="R1691" s="61"/>
      <c r="S1691" s="61"/>
      <c r="T1691" s="61"/>
      <c r="U1691" s="61"/>
      <c r="V1691" s="61"/>
      <c r="W1691" s="61"/>
      <c r="X1691" s="61"/>
      <c r="Y1691" s="61"/>
      <c r="Z1691" s="61"/>
    </row>
    <row r="1692" spans="1:26" ht="13">
      <c r="A1692" s="61"/>
      <c r="B1692" s="61"/>
      <c r="C1692" s="61"/>
      <c r="D1692" s="61"/>
      <c r="E1692" s="61"/>
      <c r="F1692" s="61"/>
      <c r="G1692" s="179"/>
      <c r="H1692" s="61"/>
      <c r="I1692" s="61"/>
      <c r="J1692" s="61"/>
      <c r="K1692" s="61"/>
      <c r="L1692" s="61"/>
      <c r="M1692" s="61"/>
      <c r="N1692" s="61"/>
      <c r="O1692" s="61"/>
      <c r="P1692" s="61"/>
      <c r="Q1692" s="61"/>
      <c r="R1692" s="61"/>
      <c r="S1692" s="61"/>
      <c r="T1692" s="61"/>
      <c r="U1692" s="61"/>
      <c r="V1692" s="61"/>
      <c r="W1692" s="61"/>
      <c r="X1692" s="61"/>
      <c r="Y1692" s="61"/>
      <c r="Z1692" s="61"/>
    </row>
    <row r="1693" spans="1:26" ht="13">
      <c r="A1693" s="61"/>
      <c r="B1693" s="61"/>
      <c r="C1693" s="61"/>
      <c r="D1693" s="61"/>
      <c r="E1693" s="61"/>
      <c r="F1693" s="61"/>
      <c r="G1693" s="179"/>
      <c r="H1693" s="61"/>
      <c r="I1693" s="61"/>
      <c r="J1693" s="61"/>
      <c r="K1693" s="61"/>
      <c r="L1693" s="61"/>
      <c r="M1693" s="61"/>
      <c r="N1693" s="61"/>
      <c r="O1693" s="61"/>
      <c r="P1693" s="61"/>
      <c r="Q1693" s="61"/>
      <c r="R1693" s="61"/>
      <c r="S1693" s="61"/>
      <c r="T1693" s="61"/>
      <c r="U1693" s="61"/>
      <c r="V1693" s="61"/>
      <c r="W1693" s="61"/>
      <c r="X1693" s="61"/>
      <c r="Y1693" s="61"/>
      <c r="Z1693" s="61"/>
    </row>
    <row r="1694" spans="1:26" ht="13">
      <c r="A1694" s="61"/>
      <c r="B1694" s="61"/>
      <c r="C1694" s="61"/>
      <c r="D1694" s="61"/>
      <c r="E1694" s="61"/>
      <c r="F1694" s="61"/>
      <c r="G1694" s="179"/>
      <c r="H1694" s="61"/>
      <c r="I1694" s="61"/>
      <c r="J1694" s="61"/>
      <c r="K1694" s="61"/>
      <c r="L1694" s="61"/>
      <c r="M1694" s="61"/>
      <c r="N1694" s="61"/>
      <c r="O1694" s="61"/>
      <c r="P1694" s="61"/>
      <c r="Q1694" s="61"/>
      <c r="R1694" s="61"/>
      <c r="S1694" s="61"/>
      <c r="T1694" s="61"/>
      <c r="U1694" s="61"/>
      <c r="V1694" s="61"/>
      <c r="W1694" s="61"/>
      <c r="X1694" s="61"/>
      <c r="Y1694" s="61"/>
      <c r="Z1694" s="61"/>
    </row>
    <row r="1695" spans="1:26" ht="13">
      <c r="A1695" s="61"/>
      <c r="B1695" s="61"/>
      <c r="C1695" s="61"/>
      <c r="D1695" s="61"/>
      <c r="E1695" s="61"/>
      <c r="F1695" s="61"/>
      <c r="G1695" s="179"/>
      <c r="H1695" s="61"/>
      <c r="I1695" s="61"/>
      <c r="J1695" s="61"/>
      <c r="K1695" s="61"/>
      <c r="L1695" s="61"/>
      <c r="M1695" s="61"/>
      <c r="N1695" s="61"/>
      <c r="O1695" s="61"/>
      <c r="P1695" s="61"/>
      <c r="Q1695" s="61"/>
      <c r="R1695" s="61"/>
      <c r="S1695" s="61"/>
      <c r="T1695" s="61"/>
      <c r="U1695" s="61"/>
      <c r="V1695" s="61"/>
      <c r="W1695" s="61"/>
      <c r="X1695" s="61"/>
      <c r="Y1695" s="61"/>
      <c r="Z1695" s="61"/>
    </row>
    <row r="1696" spans="1:26" ht="13">
      <c r="A1696" s="61"/>
      <c r="B1696" s="61"/>
      <c r="C1696" s="61"/>
      <c r="D1696" s="61"/>
      <c r="E1696" s="61"/>
      <c r="F1696" s="61"/>
      <c r="G1696" s="179"/>
      <c r="H1696" s="61"/>
      <c r="I1696" s="61"/>
      <c r="J1696" s="61"/>
      <c r="K1696" s="61"/>
      <c r="L1696" s="61"/>
      <c r="M1696" s="61"/>
      <c r="N1696" s="61"/>
      <c r="O1696" s="61"/>
      <c r="P1696" s="61"/>
      <c r="Q1696" s="61"/>
      <c r="R1696" s="61"/>
      <c r="S1696" s="61"/>
      <c r="T1696" s="61"/>
      <c r="U1696" s="61"/>
      <c r="V1696" s="61"/>
      <c r="W1696" s="61"/>
      <c r="X1696" s="61"/>
      <c r="Y1696" s="61"/>
      <c r="Z1696" s="61"/>
    </row>
    <row r="1697" spans="1:26" ht="13">
      <c r="A1697" s="61"/>
      <c r="B1697" s="61"/>
      <c r="C1697" s="61"/>
      <c r="D1697" s="61"/>
      <c r="E1697" s="61"/>
      <c r="F1697" s="61"/>
      <c r="G1697" s="179"/>
      <c r="H1697" s="61"/>
      <c r="I1697" s="61"/>
      <c r="J1697" s="61"/>
      <c r="K1697" s="61"/>
      <c r="L1697" s="61"/>
      <c r="M1697" s="61"/>
      <c r="N1697" s="61"/>
      <c r="O1697" s="61"/>
      <c r="P1697" s="61"/>
      <c r="Q1697" s="61"/>
      <c r="R1697" s="61"/>
      <c r="S1697" s="61"/>
      <c r="T1697" s="61"/>
      <c r="U1697" s="61"/>
      <c r="V1697" s="61"/>
      <c r="W1697" s="61"/>
      <c r="X1697" s="61"/>
      <c r="Y1697" s="61"/>
      <c r="Z1697" s="61"/>
    </row>
    <row r="1698" spans="1:26" ht="13">
      <c r="A1698" s="61"/>
      <c r="B1698" s="61"/>
      <c r="C1698" s="61"/>
      <c r="D1698" s="61"/>
      <c r="E1698" s="61"/>
      <c r="F1698" s="61"/>
      <c r="G1698" s="179"/>
      <c r="H1698" s="61"/>
      <c r="I1698" s="61"/>
      <c r="J1698" s="61"/>
      <c r="K1698" s="61"/>
      <c r="L1698" s="61"/>
      <c r="M1698" s="61"/>
      <c r="N1698" s="61"/>
      <c r="O1698" s="61"/>
      <c r="P1698" s="61"/>
      <c r="Q1698" s="61"/>
      <c r="R1698" s="61"/>
      <c r="S1698" s="61"/>
      <c r="T1698" s="61"/>
      <c r="U1698" s="61"/>
      <c r="V1698" s="61"/>
      <c r="W1698" s="61"/>
      <c r="X1698" s="61"/>
      <c r="Y1698" s="61"/>
      <c r="Z1698" s="61"/>
    </row>
    <row r="1699" spans="1:26" ht="13">
      <c r="A1699" s="61"/>
      <c r="B1699" s="61"/>
      <c r="C1699" s="61"/>
      <c r="D1699" s="61"/>
      <c r="E1699" s="61"/>
      <c r="F1699" s="61"/>
      <c r="G1699" s="179"/>
      <c r="H1699" s="61"/>
      <c r="I1699" s="61"/>
      <c r="J1699" s="61"/>
      <c r="K1699" s="61"/>
      <c r="L1699" s="61"/>
      <c r="M1699" s="61"/>
      <c r="N1699" s="61"/>
      <c r="O1699" s="61"/>
      <c r="P1699" s="61"/>
      <c r="Q1699" s="61"/>
      <c r="R1699" s="61"/>
      <c r="S1699" s="61"/>
      <c r="T1699" s="61"/>
      <c r="U1699" s="61"/>
      <c r="V1699" s="61"/>
      <c r="W1699" s="61"/>
      <c r="X1699" s="61"/>
      <c r="Y1699" s="61"/>
      <c r="Z1699" s="61"/>
    </row>
    <row r="1700" spans="1:26" ht="13">
      <c r="A1700" s="61"/>
      <c r="B1700" s="61"/>
      <c r="C1700" s="61"/>
      <c r="D1700" s="61"/>
      <c r="E1700" s="61"/>
      <c r="F1700" s="61"/>
      <c r="G1700" s="179"/>
      <c r="H1700" s="61"/>
      <c r="I1700" s="61"/>
      <c r="J1700" s="61"/>
      <c r="K1700" s="61"/>
      <c r="L1700" s="61"/>
      <c r="M1700" s="61"/>
      <c r="N1700" s="61"/>
      <c r="O1700" s="61"/>
      <c r="P1700" s="61"/>
      <c r="Q1700" s="61"/>
      <c r="R1700" s="61"/>
      <c r="S1700" s="61"/>
      <c r="T1700" s="61"/>
      <c r="U1700" s="61"/>
      <c r="V1700" s="61"/>
      <c r="W1700" s="61"/>
      <c r="X1700" s="61"/>
      <c r="Y1700" s="61"/>
      <c r="Z1700" s="61"/>
    </row>
    <row r="1701" spans="1:26" ht="13">
      <c r="A1701" s="61"/>
      <c r="B1701" s="61"/>
      <c r="C1701" s="61"/>
      <c r="D1701" s="61"/>
      <c r="E1701" s="61"/>
      <c r="F1701" s="61"/>
      <c r="G1701" s="179"/>
      <c r="H1701" s="61"/>
      <c r="I1701" s="61"/>
      <c r="J1701" s="61"/>
      <c r="K1701" s="61"/>
      <c r="L1701" s="61"/>
      <c r="M1701" s="61"/>
      <c r="N1701" s="61"/>
      <c r="O1701" s="61"/>
      <c r="P1701" s="61"/>
      <c r="Q1701" s="61"/>
      <c r="R1701" s="61"/>
      <c r="S1701" s="61"/>
      <c r="T1701" s="61"/>
      <c r="U1701" s="61"/>
      <c r="V1701" s="61"/>
      <c r="W1701" s="61"/>
      <c r="X1701" s="61"/>
      <c r="Y1701" s="61"/>
      <c r="Z1701" s="61"/>
    </row>
    <row r="1702" spans="1:26" ht="13">
      <c r="A1702" s="61"/>
      <c r="B1702" s="61"/>
      <c r="C1702" s="61"/>
      <c r="D1702" s="61"/>
      <c r="E1702" s="61"/>
      <c r="F1702" s="61"/>
      <c r="G1702" s="179"/>
      <c r="H1702" s="61"/>
      <c r="I1702" s="61"/>
      <c r="J1702" s="61"/>
      <c r="K1702" s="61"/>
      <c r="L1702" s="61"/>
      <c r="M1702" s="61"/>
      <c r="N1702" s="61"/>
      <c r="O1702" s="61"/>
      <c r="P1702" s="61"/>
      <c r="Q1702" s="61"/>
      <c r="R1702" s="61"/>
      <c r="S1702" s="61"/>
      <c r="T1702" s="61"/>
      <c r="U1702" s="61"/>
      <c r="V1702" s="61"/>
      <c r="W1702" s="61"/>
      <c r="X1702" s="61"/>
      <c r="Y1702" s="61"/>
      <c r="Z1702" s="61"/>
    </row>
    <row r="1703" spans="1:26" ht="13">
      <c r="A1703" s="61"/>
      <c r="B1703" s="61"/>
      <c r="C1703" s="61"/>
      <c r="D1703" s="61"/>
      <c r="E1703" s="61"/>
      <c r="F1703" s="61"/>
      <c r="G1703" s="179"/>
      <c r="H1703" s="61"/>
      <c r="I1703" s="61"/>
      <c r="J1703" s="61"/>
      <c r="K1703" s="61"/>
      <c r="L1703" s="61"/>
      <c r="M1703" s="61"/>
      <c r="N1703" s="61"/>
      <c r="O1703" s="61"/>
      <c r="P1703" s="61"/>
      <c r="Q1703" s="61"/>
      <c r="R1703" s="61"/>
      <c r="S1703" s="61"/>
      <c r="T1703" s="61"/>
      <c r="U1703" s="61"/>
      <c r="V1703" s="61"/>
      <c r="W1703" s="61"/>
      <c r="X1703" s="61"/>
      <c r="Y1703" s="61"/>
      <c r="Z1703" s="61"/>
    </row>
    <row r="1704" spans="1:26" ht="13">
      <c r="A1704" s="61"/>
      <c r="B1704" s="61"/>
      <c r="C1704" s="61"/>
      <c r="D1704" s="61"/>
      <c r="E1704" s="61"/>
      <c r="F1704" s="61"/>
      <c r="G1704" s="179"/>
      <c r="H1704" s="61"/>
      <c r="I1704" s="61"/>
      <c r="J1704" s="61"/>
      <c r="K1704" s="61"/>
      <c r="L1704" s="61"/>
      <c r="M1704" s="61"/>
      <c r="N1704" s="61"/>
      <c r="O1704" s="61"/>
      <c r="P1704" s="61"/>
      <c r="Q1704" s="61"/>
      <c r="R1704" s="61"/>
      <c r="S1704" s="61"/>
      <c r="T1704" s="61"/>
      <c r="U1704" s="61"/>
      <c r="V1704" s="61"/>
      <c r="W1704" s="61"/>
      <c r="X1704" s="61"/>
      <c r="Y1704" s="61"/>
      <c r="Z1704" s="61"/>
    </row>
    <row r="1705" spans="1:26" ht="13">
      <c r="A1705" s="61"/>
      <c r="B1705" s="61"/>
      <c r="C1705" s="61"/>
      <c r="D1705" s="61"/>
      <c r="E1705" s="61"/>
      <c r="F1705" s="61"/>
      <c r="G1705" s="179"/>
      <c r="H1705" s="61"/>
      <c r="I1705" s="61"/>
      <c r="J1705" s="61"/>
      <c r="K1705" s="61"/>
      <c r="L1705" s="61"/>
      <c r="M1705" s="61"/>
      <c r="N1705" s="61"/>
      <c r="O1705" s="61"/>
      <c r="P1705" s="61"/>
      <c r="Q1705" s="61"/>
      <c r="R1705" s="61"/>
      <c r="S1705" s="61"/>
      <c r="T1705" s="61"/>
      <c r="U1705" s="61"/>
      <c r="V1705" s="61"/>
      <c r="W1705" s="61"/>
      <c r="X1705" s="61"/>
      <c r="Y1705" s="61"/>
      <c r="Z1705" s="61"/>
    </row>
    <row r="1706" spans="1:26" ht="13">
      <c r="A1706" s="61"/>
      <c r="B1706" s="61"/>
      <c r="C1706" s="61"/>
      <c r="D1706" s="61"/>
      <c r="E1706" s="61"/>
      <c r="F1706" s="61"/>
      <c r="G1706" s="179"/>
      <c r="H1706" s="61"/>
      <c r="I1706" s="61"/>
      <c r="J1706" s="61"/>
      <c r="K1706" s="61"/>
      <c r="L1706" s="61"/>
      <c r="M1706" s="61"/>
      <c r="N1706" s="61"/>
      <c r="O1706" s="61"/>
      <c r="P1706" s="61"/>
      <c r="Q1706" s="61"/>
      <c r="R1706" s="61"/>
      <c r="S1706" s="61"/>
      <c r="T1706" s="61"/>
      <c r="U1706" s="61"/>
      <c r="V1706" s="61"/>
      <c r="W1706" s="61"/>
      <c r="X1706" s="61"/>
      <c r="Y1706" s="61"/>
      <c r="Z1706" s="61"/>
    </row>
    <row r="1707" spans="1:26" ht="13">
      <c r="A1707" s="61"/>
      <c r="B1707" s="61"/>
      <c r="C1707" s="61"/>
      <c r="D1707" s="61"/>
      <c r="E1707" s="61"/>
      <c r="F1707" s="61"/>
      <c r="G1707" s="179"/>
      <c r="H1707" s="61"/>
      <c r="I1707" s="61"/>
      <c r="J1707" s="61"/>
      <c r="K1707" s="61"/>
      <c r="L1707" s="61"/>
      <c r="M1707" s="61"/>
      <c r="N1707" s="61"/>
      <c r="O1707" s="61"/>
      <c r="P1707" s="61"/>
      <c r="Q1707" s="61"/>
      <c r="R1707" s="61"/>
      <c r="S1707" s="61"/>
      <c r="T1707" s="61"/>
      <c r="U1707" s="61"/>
      <c r="V1707" s="61"/>
      <c r="W1707" s="61"/>
      <c r="X1707" s="61"/>
      <c r="Y1707" s="61"/>
      <c r="Z1707" s="61"/>
    </row>
    <row r="1708" spans="1:26" ht="13">
      <c r="A1708" s="61"/>
      <c r="B1708" s="61"/>
      <c r="C1708" s="61"/>
      <c r="D1708" s="61"/>
      <c r="E1708" s="61"/>
      <c r="F1708" s="61"/>
      <c r="G1708" s="179"/>
      <c r="H1708" s="61"/>
      <c r="I1708" s="61"/>
      <c r="J1708" s="61"/>
      <c r="K1708" s="61"/>
      <c r="L1708" s="61"/>
      <c r="M1708" s="61"/>
      <c r="N1708" s="61"/>
      <c r="O1708" s="61"/>
      <c r="P1708" s="61"/>
      <c r="Q1708" s="61"/>
      <c r="R1708" s="61"/>
      <c r="S1708" s="61"/>
      <c r="T1708" s="61"/>
      <c r="U1708" s="61"/>
      <c r="V1708" s="61"/>
      <c r="W1708" s="61"/>
      <c r="X1708" s="61"/>
      <c r="Y1708" s="61"/>
      <c r="Z1708" s="61"/>
    </row>
    <row r="1709" spans="1:26" ht="13">
      <c r="A1709" s="61"/>
      <c r="B1709" s="61"/>
      <c r="C1709" s="61"/>
      <c r="D1709" s="61"/>
      <c r="E1709" s="61"/>
      <c r="F1709" s="61"/>
      <c r="G1709" s="179"/>
      <c r="H1709" s="61"/>
      <c r="I1709" s="61"/>
      <c r="J1709" s="61"/>
      <c r="K1709" s="61"/>
      <c r="L1709" s="61"/>
      <c r="M1709" s="61"/>
      <c r="N1709" s="61"/>
      <c r="O1709" s="61"/>
      <c r="P1709" s="61"/>
      <c r="Q1709" s="61"/>
      <c r="R1709" s="61"/>
      <c r="S1709" s="61"/>
      <c r="T1709" s="61"/>
      <c r="U1709" s="61"/>
      <c r="V1709" s="61"/>
      <c r="W1709" s="61"/>
      <c r="X1709" s="61"/>
      <c r="Y1709" s="61"/>
      <c r="Z1709" s="61"/>
    </row>
    <row r="1710" spans="1:26" ht="13">
      <c r="A1710" s="61"/>
      <c r="B1710" s="61"/>
      <c r="C1710" s="61"/>
      <c r="D1710" s="61"/>
      <c r="E1710" s="61"/>
      <c r="F1710" s="61"/>
      <c r="G1710" s="179"/>
      <c r="H1710" s="61"/>
      <c r="I1710" s="61"/>
      <c r="J1710" s="61"/>
      <c r="K1710" s="61"/>
      <c r="L1710" s="61"/>
      <c r="M1710" s="61"/>
      <c r="N1710" s="61"/>
      <c r="O1710" s="61"/>
      <c r="P1710" s="61"/>
      <c r="Q1710" s="61"/>
      <c r="R1710" s="61"/>
      <c r="S1710" s="61"/>
      <c r="T1710" s="61"/>
      <c r="U1710" s="61"/>
      <c r="V1710" s="61"/>
      <c r="W1710" s="61"/>
      <c r="X1710" s="61"/>
      <c r="Y1710" s="61"/>
      <c r="Z1710" s="61"/>
    </row>
    <row r="1711" spans="1:26" ht="13">
      <c r="A1711" s="61"/>
      <c r="B1711" s="61"/>
      <c r="C1711" s="61"/>
      <c r="D1711" s="61"/>
      <c r="E1711" s="61"/>
      <c r="F1711" s="61"/>
      <c r="G1711" s="179"/>
      <c r="H1711" s="61"/>
      <c r="I1711" s="61"/>
      <c r="J1711" s="61"/>
      <c r="K1711" s="61"/>
      <c r="L1711" s="61"/>
      <c r="M1711" s="61"/>
      <c r="N1711" s="61"/>
      <c r="O1711" s="61"/>
      <c r="P1711" s="61"/>
      <c r="Q1711" s="61"/>
      <c r="R1711" s="61"/>
      <c r="S1711" s="61"/>
      <c r="T1711" s="61"/>
      <c r="U1711" s="61"/>
      <c r="V1711" s="61"/>
      <c r="W1711" s="61"/>
      <c r="X1711" s="61"/>
      <c r="Y1711" s="61"/>
      <c r="Z1711" s="61"/>
    </row>
    <row r="1712" spans="1:26" ht="13">
      <c r="A1712" s="61"/>
      <c r="B1712" s="61"/>
      <c r="C1712" s="61"/>
      <c r="D1712" s="61"/>
      <c r="E1712" s="61"/>
      <c r="F1712" s="61"/>
      <c r="G1712" s="179"/>
      <c r="H1712" s="61"/>
      <c r="I1712" s="61"/>
      <c r="J1712" s="61"/>
      <c r="K1712" s="61"/>
      <c r="L1712" s="61"/>
      <c r="M1712" s="61"/>
      <c r="N1712" s="61"/>
      <c r="O1712" s="61"/>
      <c r="P1712" s="61"/>
      <c r="Q1712" s="61"/>
      <c r="R1712" s="61"/>
      <c r="S1712" s="61"/>
      <c r="T1712" s="61"/>
      <c r="U1712" s="61"/>
      <c r="V1712" s="61"/>
      <c r="W1712" s="61"/>
      <c r="X1712" s="61"/>
      <c r="Y1712" s="61"/>
      <c r="Z1712" s="61"/>
    </row>
    <row r="1713" spans="1:26" ht="13">
      <c r="A1713" s="61"/>
      <c r="B1713" s="61"/>
      <c r="C1713" s="61"/>
      <c r="D1713" s="61"/>
      <c r="E1713" s="61"/>
      <c r="F1713" s="61"/>
      <c r="G1713" s="179"/>
      <c r="H1713" s="61"/>
      <c r="I1713" s="61"/>
      <c r="J1713" s="61"/>
      <c r="K1713" s="61"/>
      <c r="L1713" s="61"/>
      <c r="M1713" s="61"/>
      <c r="N1713" s="61"/>
      <c r="O1713" s="61"/>
      <c r="P1713" s="61"/>
      <c r="Q1713" s="61"/>
      <c r="R1713" s="61"/>
      <c r="S1713" s="61"/>
      <c r="T1713" s="61"/>
      <c r="U1713" s="61"/>
      <c r="V1713" s="61"/>
      <c r="W1713" s="61"/>
      <c r="X1713" s="61"/>
      <c r="Y1713" s="61"/>
      <c r="Z1713" s="61"/>
    </row>
    <row r="1714" spans="1:26" ht="13">
      <c r="A1714" s="61"/>
      <c r="B1714" s="61"/>
      <c r="C1714" s="61"/>
      <c r="D1714" s="61"/>
      <c r="E1714" s="61"/>
      <c r="F1714" s="61"/>
      <c r="G1714" s="179"/>
      <c r="H1714" s="61"/>
      <c r="I1714" s="61"/>
      <c r="J1714" s="61"/>
      <c r="K1714" s="61"/>
      <c r="L1714" s="61"/>
      <c r="M1714" s="61"/>
      <c r="N1714" s="61"/>
      <c r="O1714" s="61"/>
      <c r="P1714" s="61"/>
      <c r="Q1714" s="61"/>
      <c r="R1714" s="61"/>
      <c r="S1714" s="61"/>
      <c r="T1714" s="61"/>
      <c r="U1714" s="61"/>
      <c r="V1714" s="61"/>
      <c r="W1714" s="61"/>
      <c r="X1714" s="61"/>
      <c r="Y1714" s="61"/>
      <c r="Z1714" s="61"/>
    </row>
    <row r="1715" spans="1:26" ht="13">
      <c r="A1715" s="61"/>
      <c r="B1715" s="61"/>
      <c r="C1715" s="61"/>
      <c r="D1715" s="61"/>
      <c r="E1715" s="61"/>
      <c r="F1715" s="61"/>
      <c r="G1715" s="179"/>
      <c r="H1715" s="61"/>
      <c r="I1715" s="61"/>
      <c r="J1715" s="61"/>
      <c r="K1715" s="61"/>
      <c r="L1715" s="61"/>
      <c r="M1715" s="61"/>
      <c r="N1715" s="61"/>
      <c r="O1715" s="61"/>
      <c r="P1715" s="61"/>
      <c r="Q1715" s="61"/>
      <c r="R1715" s="61"/>
      <c r="S1715" s="61"/>
      <c r="T1715" s="61"/>
      <c r="U1715" s="61"/>
      <c r="V1715" s="61"/>
      <c r="W1715" s="61"/>
      <c r="X1715" s="61"/>
      <c r="Y1715" s="61"/>
      <c r="Z1715" s="61"/>
    </row>
    <row r="1716" spans="1:26" ht="13">
      <c r="A1716" s="61"/>
      <c r="B1716" s="61"/>
      <c r="C1716" s="61"/>
      <c r="D1716" s="61"/>
      <c r="E1716" s="61"/>
      <c r="F1716" s="61"/>
      <c r="G1716" s="179"/>
      <c r="H1716" s="61"/>
      <c r="I1716" s="61"/>
      <c r="J1716" s="61"/>
      <c r="K1716" s="61"/>
      <c r="L1716" s="61"/>
      <c r="M1716" s="61"/>
      <c r="N1716" s="61"/>
      <c r="O1716" s="61"/>
      <c r="P1716" s="61"/>
      <c r="Q1716" s="61"/>
      <c r="R1716" s="61"/>
      <c r="S1716" s="61"/>
      <c r="T1716" s="61"/>
      <c r="U1716" s="61"/>
      <c r="V1716" s="61"/>
      <c r="W1716" s="61"/>
      <c r="X1716" s="61"/>
      <c r="Y1716" s="61"/>
      <c r="Z1716" s="61"/>
    </row>
    <row r="1717" spans="1:26" ht="13">
      <c r="A1717" s="61"/>
      <c r="B1717" s="61"/>
      <c r="C1717" s="61"/>
      <c r="D1717" s="61"/>
      <c r="E1717" s="61"/>
      <c r="F1717" s="61"/>
      <c r="G1717" s="179"/>
      <c r="H1717" s="61"/>
      <c r="I1717" s="61"/>
      <c r="J1717" s="61"/>
      <c r="K1717" s="61"/>
      <c r="L1717" s="61"/>
      <c r="M1717" s="61"/>
      <c r="N1717" s="61"/>
      <c r="O1717" s="61"/>
      <c r="P1717" s="61"/>
      <c r="Q1717" s="61"/>
      <c r="R1717" s="61"/>
      <c r="S1717" s="61"/>
      <c r="T1717" s="61"/>
      <c r="U1717" s="61"/>
      <c r="V1717" s="61"/>
      <c r="W1717" s="61"/>
      <c r="X1717" s="61"/>
      <c r="Y1717" s="61"/>
      <c r="Z1717" s="61"/>
    </row>
    <row r="1718" spans="1:26" ht="13">
      <c r="A1718" s="61"/>
      <c r="B1718" s="61"/>
      <c r="C1718" s="61"/>
      <c r="D1718" s="61"/>
      <c r="E1718" s="61"/>
      <c r="F1718" s="61"/>
      <c r="G1718" s="179"/>
      <c r="H1718" s="61"/>
      <c r="I1718" s="61"/>
      <c r="J1718" s="61"/>
      <c r="K1718" s="61"/>
      <c r="L1718" s="61"/>
      <c r="M1718" s="61"/>
      <c r="N1718" s="61"/>
      <c r="O1718" s="61"/>
      <c r="P1718" s="61"/>
      <c r="Q1718" s="61"/>
      <c r="R1718" s="61"/>
      <c r="S1718" s="61"/>
      <c r="T1718" s="61"/>
      <c r="U1718" s="61"/>
      <c r="V1718" s="61"/>
      <c r="W1718" s="61"/>
      <c r="X1718" s="61"/>
      <c r="Y1718" s="61"/>
      <c r="Z1718" s="61"/>
    </row>
    <row r="1719" spans="1:26" ht="13">
      <c r="A1719" s="61"/>
      <c r="B1719" s="61"/>
      <c r="C1719" s="61"/>
      <c r="D1719" s="61"/>
      <c r="E1719" s="61"/>
      <c r="F1719" s="61"/>
      <c r="G1719" s="179"/>
      <c r="H1719" s="61"/>
      <c r="I1719" s="61"/>
      <c r="J1719" s="61"/>
      <c r="K1719" s="61"/>
      <c r="L1719" s="61"/>
      <c r="M1719" s="61"/>
      <c r="N1719" s="61"/>
      <c r="O1719" s="61"/>
      <c r="P1719" s="61"/>
      <c r="Q1719" s="61"/>
      <c r="R1719" s="61"/>
      <c r="S1719" s="61"/>
      <c r="T1719" s="61"/>
      <c r="U1719" s="61"/>
      <c r="V1719" s="61"/>
      <c r="W1719" s="61"/>
      <c r="X1719" s="61"/>
      <c r="Y1719" s="61"/>
      <c r="Z1719" s="61"/>
    </row>
    <row r="1720" spans="1:26" ht="13">
      <c r="A1720" s="61"/>
      <c r="B1720" s="61"/>
      <c r="C1720" s="61"/>
      <c r="D1720" s="61"/>
      <c r="E1720" s="61"/>
      <c r="F1720" s="61"/>
      <c r="G1720" s="179"/>
      <c r="H1720" s="61"/>
      <c r="I1720" s="61"/>
      <c r="J1720" s="61"/>
      <c r="K1720" s="61"/>
      <c r="L1720" s="61"/>
      <c r="M1720" s="61"/>
      <c r="N1720" s="61"/>
      <c r="O1720" s="61"/>
      <c r="P1720" s="61"/>
      <c r="Q1720" s="61"/>
      <c r="R1720" s="61"/>
      <c r="S1720" s="61"/>
      <c r="T1720" s="61"/>
      <c r="U1720" s="61"/>
      <c r="V1720" s="61"/>
      <c r="W1720" s="61"/>
      <c r="X1720" s="61"/>
      <c r="Y1720" s="61"/>
      <c r="Z1720" s="61"/>
    </row>
    <row r="1721" spans="1:26" ht="13">
      <c r="A1721" s="61"/>
      <c r="B1721" s="61"/>
      <c r="C1721" s="61"/>
      <c r="D1721" s="61"/>
      <c r="E1721" s="61"/>
      <c r="F1721" s="61"/>
      <c r="G1721" s="179"/>
      <c r="H1721" s="61"/>
      <c r="I1721" s="61"/>
      <c r="J1721" s="61"/>
      <c r="K1721" s="61"/>
      <c r="L1721" s="61"/>
      <c r="M1721" s="61"/>
      <c r="N1721" s="61"/>
      <c r="O1721" s="61"/>
      <c r="P1721" s="61"/>
      <c r="Q1721" s="61"/>
      <c r="R1721" s="61"/>
      <c r="S1721" s="61"/>
      <c r="T1721" s="61"/>
      <c r="U1721" s="61"/>
      <c r="V1721" s="61"/>
      <c r="W1721" s="61"/>
      <c r="X1721" s="61"/>
      <c r="Y1721" s="61"/>
      <c r="Z1721" s="61"/>
    </row>
    <row r="1722" spans="1:26" ht="13">
      <c r="A1722" s="61"/>
      <c r="B1722" s="61"/>
      <c r="C1722" s="61"/>
      <c r="D1722" s="61"/>
      <c r="E1722" s="61"/>
      <c r="F1722" s="61"/>
      <c r="G1722" s="179"/>
      <c r="H1722" s="61"/>
      <c r="I1722" s="61"/>
      <c r="J1722" s="61"/>
      <c r="K1722" s="61"/>
      <c r="L1722" s="61"/>
      <c r="M1722" s="61"/>
      <c r="N1722" s="61"/>
      <c r="O1722" s="61"/>
      <c r="P1722" s="61"/>
      <c r="Q1722" s="61"/>
      <c r="R1722" s="61"/>
      <c r="S1722" s="61"/>
      <c r="T1722" s="61"/>
      <c r="U1722" s="61"/>
      <c r="V1722" s="61"/>
      <c r="W1722" s="61"/>
      <c r="X1722" s="61"/>
      <c r="Y1722" s="61"/>
      <c r="Z1722" s="61"/>
    </row>
    <row r="1723" spans="1:26" ht="13">
      <c r="A1723" s="61"/>
      <c r="B1723" s="61"/>
      <c r="C1723" s="61"/>
      <c r="D1723" s="61"/>
      <c r="E1723" s="61"/>
      <c r="F1723" s="61"/>
      <c r="G1723" s="179"/>
      <c r="H1723" s="61"/>
      <c r="I1723" s="61"/>
      <c r="J1723" s="61"/>
      <c r="K1723" s="61"/>
      <c r="L1723" s="61"/>
      <c r="M1723" s="61"/>
      <c r="N1723" s="61"/>
      <c r="O1723" s="61"/>
      <c r="P1723" s="61"/>
      <c r="Q1723" s="61"/>
      <c r="R1723" s="61"/>
      <c r="S1723" s="61"/>
      <c r="T1723" s="61"/>
      <c r="U1723" s="61"/>
      <c r="V1723" s="61"/>
      <c r="W1723" s="61"/>
      <c r="X1723" s="61"/>
      <c r="Y1723" s="61"/>
      <c r="Z1723" s="61"/>
    </row>
    <row r="1724" spans="1:26" ht="13">
      <c r="A1724" s="61"/>
      <c r="B1724" s="61"/>
      <c r="C1724" s="61"/>
      <c r="D1724" s="61"/>
      <c r="E1724" s="61"/>
      <c r="F1724" s="61"/>
      <c r="G1724" s="179"/>
      <c r="H1724" s="61"/>
      <c r="I1724" s="61"/>
      <c r="J1724" s="61"/>
      <c r="K1724" s="61"/>
      <c r="L1724" s="61"/>
      <c r="M1724" s="61"/>
      <c r="N1724" s="61"/>
      <c r="O1724" s="61"/>
      <c r="P1724" s="61"/>
      <c r="Q1724" s="61"/>
      <c r="R1724" s="61"/>
      <c r="S1724" s="61"/>
      <c r="T1724" s="61"/>
      <c r="U1724" s="61"/>
      <c r="V1724" s="61"/>
      <c r="W1724" s="61"/>
      <c r="X1724" s="61"/>
      <c r="Y1724" s="61"/>
      <c r="Z1724" s="61"/>
    </row>
    <row r="1725" spans="1:26" ht="13">
      <c r="A1725" s="61"/>
      <c r="B1725" s="61"/>
      <c r="C1725" s="61"/>
      <c r="D1725" s="61"/>
      <c r="E1725" s="61"/>
      <c r="F1725" s="61"/>
      <c r="G1725" s="179"/>
      <c r="H1725" s="61"/>
      <c r="I1725" s="61"/>
      <c r="J1725" s="61"/>
      <c r="K1725" s="61"/>
      <c r="L1725" s="61"/>
      <c r="M1725" s="61"/>
      <c r="N1725" s="61"/>
      <c r="O1725" s="61"/>
      <c r="P1725" s="61"/>
      <c r="Q1725" s="61"/>
      <c r="R1725" s="61"/>
      <c r="S1725" s="61"/>
      <c r="T1725" s="61"/>
      <c r="U1725" s="61"/>
      <c r="V1725" s="61"/>
      <c r="W1725" s="61"/>
      <c r="X1725" s="61"/>
      <c r="Y1725" s="61"/>
      <c r="Z1725" s="61"/>
    </row>
    <row r="1726" spans="1:26" ht="13">
      <c r="A1726" s="61"/>
      <c r="B1726" s="61"/>
      <c r="C1726" s="61"/>
      <c r="D1726" s="61"/>
      <c r="E1726" s="61"/>
      <c r="F1726" s="61"/>
      <c r="G1726" s="179"/>
      <c r="H1726" s="61"/>
      <c r="I1726" s="61"/>
      <c r="J1726" s="61"/>
      <c r="K1726" s="61"/>
      <c r="L1726" s="61"/>
      <c r="M1726" s="61"/>
      <c r="N1726" s="61"/>
      <c r="O1726" s="61"/>
      <c r="P1726" s="61"/>
      <c r="Q1726" s="61"/>
      <c r="R1726" s="61"/>
      <c r="S1726" s="61"/>
      <c r="T1726" s="61"/>
      <c r="U1726" s="61"/>
      <c r="V1726" s="61"/>
      <c r="W1726" s="61"/>
      <c r="X1726" s="61"/>
      <c r="Y1726" s="61"/>
      <c r="Z1726" s="61"/>
    </row>
    <row r="1727" spans="1:26" ht="13">
      <c r="A1727" s="61"/>
      <c r="B1727" s="61"/>
      <c r="C1727" s="61"/>
      <c r="D1727" s="61"/>
      <c r="E1727" s="61"/>
      <c r="F1727" s="61"/>
      <c r="G1727" s="179"/>
      <c r="H1727" s="61"/>
      <c r="I1727" s="61"/>
      <c r="J1727" s="61"/>
      <c r="K1727" s="61"/>
      <c r="L1727" s="61"/>
      <c r="M1727" s="61"/>
      <c r="N1727" s="61"/>
      <c r="O1727" s="61"/>
      <c r="P1727" s="61"/>
      <c r="Q1727" s="61"/>
      <c r="R1727" s="61"/>
      <c r="S1727" s="61"/>
      <c r="T1727" s="61"/>
      <c r="U1727" s="61"/>
      <c r="V1727" s="61"/>
      <c r="W1727" s="61"/>
      <c r="X1727" s="61"/>
      <c r="Y1727" s="61"/>
      <c r="Z1727" s="61"/>
    </row>
    <row r="1728" spans="1:26" ht="13">
      <c r="A1728" s="61"/>
      <c r="B1728" s="61"/>
      <c r="C1728" s="61"/>
      <c r="D1728" s="61"/>
      <c r="E1728" s="61"/>
      <c r="F1728" s="61"/>
      <c r="G1728" s="179"/>
      <c r="H1728" s="61"/>
      <c r="I1728" s="61"/>
      <c r="J1728" s="61"/>
      <c r="K1728" s="61"/>
      <c r="L1728" s="61"/>
      <c r="M1728" s="61"/>
      <c r="N1728" s="61"/>
      <c r="O1728" s="61"/>
      <c r="P1728" s="61"/>
      <c r="Q1728" s="61"/>
      <c r="R1728" s="61"/>
      <c r="S1728" s="61"/>
      <c r="T1728" s="61"/>
      <c r="U1728" s="61"/>
      <c r="V1728" s="61"/>
      <c r="W1728" s="61"/>
      <c r="X1728" s="61"/>
      <c r="Y1728" s="61"/>
      <c r="Z1728" s="61"/>
    </row>
    <row r="1729" spans="1:26" ht="13">
      <c r="A1729" s="61"/>
      <c r="B1729" s="61"/>
      <c r="C1729" s="61"/>
      <c r="D1729" s="61"/>
      <c r="E1729" s="61"/>
      <c r="F1729" s="61"/>
      <c r="G1729" s="179"/>
      <c r="H1729" s="61"/>
      <c r="I1729" s="61"/>
      <c r="J1729" s="61"/>
      <c r="K1729" s="61"/>
      <c r="L1729" s="61"/>
      <c r="M1729" s="61"/>
      <c r="N1729" s="61"/>
      <c r="O1729" s="61"/>
      <c r="P1729" s="61"/>
      <c r="Q1729" s="61"/>
      <c r="R1729" s="61"/>
      <c r="S1729" s="61"/>
      <c r="T1729" s="61"/>
      <c r="U1729" s="61"/>
      <c r="V1729" s="61"/>
      <c r="W1729" s="61"/>
      <c r="X1729" s="61"/>
      <c r="Y1729" s="61"/>
      <c r="Z1729" s="61"/>
    </row>
    <row r="1730" spans="1:26" ht="13">
      <c r="A1730" s="61"/>
      <c r="B1730" s="61"/>
      <c r="C1730" s="61"/>
      <c r="D1730" s="61"/>
      <c r="E1730" s="61"/>
      <c r="F1730" s="61"/>
      <c r="G1730" s="179"/>
      <c r="H1730" s="61"/>
      <c r="I1730" s="61"/>
      <c r="J1730" s="61"/>
      <c r="K1730" s="61"/>
      <c r="L1730" s="61"/>
      <c r="M1730" s="61"/>
      <c r="N1730" s="61"/>
      <c r="O1730" s="61"/>
      <c r="P1730" s="61"/>
      <c r="Q1730" s="61"/>
      <c r="R1730" s="61"/>
      <c r="S1730" s="61"/>
      <c r="T1730" s="61"/>
      <c r="U1730" s="61"/>
      <c r="V1730" s="61"/>
      <c r="W1730" s="61"/>
      <c r="X1730" s="61"/>
      <c r="Y1730" s="61"/>
      <c r="Z1730" s="61"/>
    </row>
    <row r="1731" spans="1:26" ht="13">
      <c r="A1731" s="61"/>
      <c r="B1731" s="61"/>
      <c r="C1731" s="61"/>
      <c r="D1731" s="61"/>
      <c r="E1731" s="61"/>
      <c r="F1731" s="61"/>
      <c r="G1731" s="179"/>
      <c r="H1731" s="61"/>
      <c r="I1731" s="61"/>
      <c r="J1731" s="61"/>
      <c r="K1731" s="61"/>
      <c r="L1731" s="61"/>
      <c r="M1731" s="61"/>
      <c r="N1731" s="61"/>
      <c r="O1731" s="61"/>
      <c r="P1731" s="61"/>
      <c r="Q1731" s="61"/>
      <c r="R1731" s="61"/>
      <c r="S1731" s="61"/>
      <c r="T1731" s="61"/>
      <c r="U1731" s="61"/>
      <c r="V1731" s="61"/>
      <c r="W1731" s="61"/>
      <c r="X1731" s="61"/>
      <c r="Y1731" s="61"/>
      <c r="Z1731" s="61"/>
    </row>
    <row r="1732" spans="1:26" ht="13">
      <c r="A1732" s="61"/>
      <c r="B1732" s="61"/>
      <c r="C1732" s="61"/>
      <c r="D1732" s="61"/>
      <c r="E1732" s="61"/>
      <c r="F1732" s="61"/>
      <c r="G1732" s="179"/>
      <c r="H1732" s="61"/>
      <c r="I1732" s="61"/>
      <c r="J1732" s="61"/>
      <c r="K1732" s="61"/>
      <c r="L1732" s="61"/>
      <c r="M1732" s="61"/>
      <c r="N1732" s="61"/>
      <c r="O1732" s="61"/>
      <c r="P1732" s="61"/>
      <c r="Q1732" s="61"/>
      <c r="R1732" s="61"/>
      <c r="S1732" s="61"/>
      <c r="T1732" s="61"/>
      <c r="U1732" s="61"/>
      <c r="V1732" s="61"/>
      <c r="W1732" s="61"/>
      <c r="X1732" s="61"/>
      <c r="Y1732" s="61"/>
      <c r="Z1732" s="61"/>
    </row>
    <row r="1733" spans="1:26" ht="13">
      <c r="A1733" s="61"/>
      <c r="B1733" s="61"/>
      <c r="C1733" s="61"/>
      <c r="D1733" s="61"/>
      <c r="E1733" s="61"/>
      <c r="F1733" s="61"/>
      <c r="G1733" s="179"/>
      <c r="H1733" s="61"/>
      <c r="I1733" s="61"/>
      <c r="J1733" s="61"/>
      <c r="K1733" s="61"/>
      <c r="L1733" s="61"/>
      <c r="M1733" s="61"/>
      <c r="N1733" s="61"/>
      <c r="O1733" s="61"/>
      <c r="P1733" s="61"/>
      <c r="Q1733" s="61"/>
      <c r="R1733" s="61"/>
      <c r="S1733" s="61"/>
      <c r="T1733" s="61"/>
      <c r="U1733" s="61"/>
      <c r="V1733" s="61"/>
      <c r="W1733" s="61"/>
      <c r="X1733" s="61"/>
      <c r="Y1733" s="61"/>
      <c r="Z1733" s="61"/>
    </row>
    <row r="1734" spans="1:26" ht="13">
      <c r="A1734" s="61"/>
      <c r="B1734" s="61"/>
      <c r="C1734" s="61"/>
      <c r="D1734" s="61"/>
      <c r="E1734" s="61"/>
      <c r="F1734" s="61"/>
      <c r="G1734" s="179"/>
      <c r="H1734" s="61"/>
      <c r="I1734" s="61"/>
      <c r="J1734" s="61"/>
      <c r="K1734" s="61"/>
      <c r="L1734" s="61"/>
      <c r="M1734" s="61"/>
      <c r="N1734" s="61"/>
      <c r="O1734" s="61"/>
      <c r="P1734" s="61"/>
      <c r="Q1734" s="61"/>
      <c r="R1734" s="61"/>
      <c r="S1734" s="61"/>
      <c r="T1734" s="61"/>
      <c r="U1734" s="61"/>
      <c r="V1734" s="61"/>
      <c r="W1734" s="61"/>
      <c r="X1734" s="61"/>
      <c r="Y1734" s="61"/>
      <c r="Z1734" s="61"/>
    </row>
    <row r="1735" spans="1:26" ht="13">
      <c r="A1735" s="61"/>
      <c r="B1735" s="61"/>
      <c r="C1735" s="61"/>
      <c r="D1735" s="61"/>
      <c r="E1735" s="61"/>
      <c r="F1735" s="61"/>
      <c r="G1735" s="179"/>
      <c r="H1735" s="61"/>
      <c r="I1735" s="61"/>
      <c r="J1735" s="61"/>
      <c r="K1735" s="61"/>
      <c r="L1735" s="61"/>
      <c r="M1735" s="61"/>
      <c r="N1735" s="61"/>
      <c r="O1735" s="61"/>
      <c r="P1735" s="61"/>
      <c r="Q1735" s="61"/>
      <c r="R1735" s="61"/>
      <c r="S1735" s="61"/>
      <c r="T1735" s="61"/>
      <c r="U1735" s="61"/>
      <c r="V1735" s="61"/>
      <c r="W1735" s="61"/>
      <c r="X1735" s="61"/>
      <c r="Y1735" s="61"/>
      <c r="Z1735" s="61"/>
    </row>
    <row r="1736" spans="1:26" ht="13">
      <c r="A1736" s="61"/>
      <c r="B1736" s="61"/>
      <c r="C1736" s="61"/>
      <c r="D1736" s="61"/>
      <c r="E1736" s="61"/>
      <c r="F1736" s="61"/>
      <c r="G1736" s="179"/>
      <c r="H1736" s="61"/>
      <c r="I1736" s="61"/>
      <c r="J1736" s="61"/>
      <c r="K1736" s="61"/>
      <c r="L1736" s="61"/>
      <c r="M1736" s="61"/>
      <c r="N1736" s="61"/>
      <c r="O1736" s="61"/>
      <c r="P1736" s="61"/>
      <c r="Q1736" s="61"/>
      <c r="R1736" s="61"/>
      <c r="S1736" s="61"/>
      <c r="T1736" s="61"/>
      <c r="U1736" s="61"/>
      <c r="V1736" s="61"/>
      <c r="W1736" s="61"/>
      <c r="X1736" s="61"/>
      <c r="Y1736" s="61"/>
      <c r="Z1736" s="61"/>
    </row>
    <row r="1737" spans="1:26" ht="13">
      <c r="A1737" s="61"/>
      <c r="B1737" s="61"/>
      <c r="C1737" s="61"/>
      <c r="D1737" s="61"/>
      <c r="E1737" s="61"/>
      <c r="F1737" s="61"/>
      <c r="G1737" s="179"/>
      <c r="H1737" s="61"/>
      <c r="I1737" s="61"/>
      <c r="J1737" s="61"/>
      <c r="K1737" s="61"/>
      <c r="L1737" s="61"/>
      <c r="M1737" s="61"/>
      <c r="N1737" s="61"/>
      <c r="O1737" s="61"/>
      <c r="P1737" s="61"/>
      <c r="Q1737" s="61"/>
      <c r="R1737" s="61"/>
      <c r="S1737" s="61"/>
      <c r="T1737" s="61"/>
      <c r="U1737" s="61"/>
      <c r="V1737" s="61"/>
      <c r="W1737" s="61"/>
      <c r="X1737" s="61"/>
      <c r="Y1737" s="61"/>
      <c r="Z1737" s="61"/>
    </row>
    <row r="1738" spans="1:26" ht="13">
      <c r="A1738" s="61"/>
      <c r="B1738" s="61"/>
      <c r="C1738" s="61"/>
      <c r="D1738" s="61"/>
      <c r="E1738" s="61"/>
      <c r="F1738" s="61"/>
      <c r="G1738" s="179"/>
      <c r="H1738" s="61"/>
      <c r="I1738" s="61"/>
      <c r="J1738" s="61"/>
      <c r="K1738" s="61"/>
      <c r="L1738" s="61"/>
      <c r="M1738" s="61"/>
      <c r="N1738" s="61"/>
      <c r="O1738" s="61"/>
      <c r="P1738" s="61"/>
      <c r="Q1738" s="61"/>
      <c r="R1738" s="61"/>
      <c r="S1738" s="61"/>
      <c r="T1738" s="61"/>
      <c r="U1738" s="61"/>
      <c r="V1738" s="61"/>
      <c r="W1738" s="61"/>
      <c r="X1738" s="61"/>
      <c r="Y1738" s="61"/>
      <c r="Z1738" s="61"/>
    </row>
    <row r="1739" spans="1:26" ht="13">
      <c r="A1739" s="61"/>
      <c r="B1739" s="61"/>
      <c r="C1739" s="61"/>
      <c r="D1739" s="61"/>
      <c r="E1739" s="61"/>
      <c r="F1739" s="61"/>
      <c r="G1739" s="179"/>
      <c r="H1739" s="61"/>
      <c r="I1739" s="61"/>
      <c r="J1739" s="61"/>
      <c r="K1739" s="61"/>
      <c r="L1739" s="61"/>
      <c r="M1739" s="61"/>
      <c r="N1739" s="61"/>
      <c r="O1739" s="61"/>
      <c r="P1739" s="61"/>
      <c r="Q1739" s="61"/>
      <c r="R1739" s="61"/>
      <c r="S1739" s="61"/>
      <c r="T1739" s="61"/>
      <c r="U1739" s="61"/>
      <c r="V1739" s="61"/>
      <c r="W1739" s="61"/>
      <c r="X1739" s="61"/>
      <c r="Y1739" s="61"/>
      <c r="Z1739" s="61"/>
    </row>
    <row r="1740" spans="1:26" ht="13">
      <c r="A1740" s="61"/>
      <c r="B1740" s="61"/>
      <c r="C1740" s="61"/>
      <c r="D1740" s="61"/>
      <c r="E1740" s="61"/>
      <c r="F1740" s="61"/>
      <c r="G1740" s="179"/>
      <c r="H1740" s="61"/>
      <c r="I1740" s="61"/>
      <c r="J1740" s="61"/>
      <c r="K1740" s="61"/>
      <c r="L1740" s="61"/>
      <c r="M1740" s="61"/>
      <c r="N1740" s="61"/>
      <c r="O1740" s="61"/>
      <c r="P1740" s="61"/>
      <c r="Q1740" s="61"/>
      <c r="R1740" s="61"/>
      <c r="S1740" s="61"/>
      <c r="T1740" s="61"/>
      <c r="U1740" s="61"/>
      <c r="V1740" s="61"/>
      <c r="W1740" s="61"/>
      <c r="X1740" s="61"/>
      <c r="Y1740" s="61"/>
      <c r="Z1740" s="61"/>
    </row>
    <row r="1741" spans="1:26" ht="13">
      <c r="A1741" s="61"/>
      <c r="B1741" s="61"/>
      <c r="C1741" s="61"/>
      <c r="D1741" s="61"/>
      <c r="E1741" s="61"/>
      <c r="F1741" s="61"/>
      <c r="G1741" s="179"/>
      <c r="H1741" s="61"/>
      <c r="I1741" s="61"/>
      <c r="J1741" s="61"/>
      <c r="K1741" s="61"/>
      <c r="L1741" s="61"/>
      <c r="M1741" s="61"/>
      <c r="N1741" s="61"/>
      <c r="O1741" s="61"/>
      <c r="P1741" s="61"/>
      <c r="Q1741" s="61"/>
      <c r="R1741" s="61"/>
      <c r="S1741" s="61"/>
      <c r="T1741" s="61"/>
      <c r="U1741" s="61"/>
      <c r="V1741" s="61"/>
      <c r="W1741" s="61"/>
      <c r="X1741" s="61"/>
      <c r="Y1741" s="61"/>
      <c r="Z1741" s="61"/>
    </row>
    <row r="1742" spans="1:26" ht="13">
      <c r="A1742" s="61"/>
      <c r="B1742" s="61"/>
      <c r="C1742" s="61"/>
      <c r="D1742" s="61"/>
      <c r="E1742" s="61"/>
      <c r="F1742" s="61"/>
      <c r="G1742" s="179"/>
      <c r="H1742" s="61"/>
      <c r="I1742" s="61"/>
      <c r="J1742" s="61"/>
      <c r="K1742" s="61"/>
      <c r="L1742" s="61"/>
      <c r="M1742" s="61"/>
      <c r="N1742" s="61"/>
      <c r="O1742" s="61"/>
      <c r="P1742" s="61"/>
      <c r="Q1742" s="61"/>
      <c r="R1742" s="61"/>
      <c r="S1742" s="61"/>
      <c r="T1742" s="61"/>
      <c r="U1742" s="61"/>
      <c r="V1742" s="61"/>
      <c r="W1742" s="61"/>
      <c r="X1742" s="61"/>
      <c r="Y1742" s="61"/>
      <c r="Z1742" s="61"/>
    </row>
    <row r="1743" spans="1:26" ht="13">
      <c r="A1743" s="61"/>
      <c r="B1743" s="61"/>
      <c r="C1743" s="61"/>
      <c r="D1743" s="61"/>
      <c r="E1743" s="61"/>
      <c r="F1743" s="61"/>
      <c r="G1743" s="179"/>
      <c r="H1743" s="61"/>
      <c r="I1743" s="61"/>
      <c r="J1743" s="61"/>
      <c r="K1743" s="61"/>
      <c r="L1743" s="61"/>
      <c r="M1743" s="61"/>
      <c r="N1743" s="61"/>
      <c r="O1743" s="61"/>
      <c r="P1743" s="61"/>
      <c r="Q1743" s="61"/>
      <c r="R1743" s="61"/>
      <c r="S1743" s="61"/>
      <c r="T1743" s="61"/>
      <c r="U1743" s="61"/>
      <c r="V1743" s="61"/>
      <c r="W1743" s="61"/>
      <c r="X1743" s="61"/>
      <c r="Y1743" s="61"/>
      <c r="Z1743" s="61"/>
    </row>
    <row r="1744" spans="1:26" ht="13">
      <c r="A1744" s="61"/>
      <c r="B1744" s="61"/>
      <c r="C1744" s="61"/>
      <c r="D1744" s="61"/>
      <c r="E1744" s="61"/>
      <c r="F1744" s="61"/>
      <c r="G1744" s="179"/>
      <c r="H1744" s="61"/>
      <c r="I1744" s="61"/>
      <c r="J1744" s="61"/>
      <c r="K1744" s="61"/>
      <c r="L1744" s="61"/>
      <c r="M1744" s="61"/>
      <c r="N1744" s="61"/>
      <c r="O1744" s="61"/>
      <c r="P1744" s="61"/>
      <c r="Q1744" s="61"/>
      <c r="R1744" s="61"/>
      <c r="S1744" s="61"/>
      <c r="T1744" s="61"/>
      <c r="U1744" s="61"/>
      <c r="V1744" s="61"/>
      <c r="W1744" s="61"/>
      <c r="X1744" s="61"/>
      <c r="Y1744" s="61"/>
      <c r="Z1744" s="61"/>
    </row>
    <row r="1745" spans="1:26" ht="13">
      <c r="A1745" s="61"/>
      <c r="B1745" s="61"/>
      <c r="C1745" s="61"/>
      <c r="D1745" s="61"/>
      <c r="E1745" s="61"/>
      <c r="F1745" s="61"/>
      <c r="G1745" s="179"/>
      <c r="H1745" s="61"/>
      <c r="I1745" s="61"/>
      <c r="J1745" s="61"/>
      <c r="K1745" s="61"/>
      <c r="L1745" s="61"/>
      <c r="M1745" s="61"/>
      <c r="N1745" s="61"/>
      <c r="O1745" s="61"/>
      <c r="P1745" s="61"/>
      <c r="Q1745" s="61"/>
      <c r="R1745" s="61"/>
      <c r="S1745" s="61"/>
      <c r="T1745" s="61"/>
      <c r="U1745" s="61"/>
      <c r="V1745" s="61"/>
      <c r="W1745" s="61"/>
      <c r="X1745" s="61"/>
      <c r="Y1745" s="61"/>
      <c r="Z1745" s="61"/>
    </row>
    <row r="1746" spans="1:26" ht="13">
      <c r="A1746" s="61"/>
      <c r="B1746" s="61"/>
      <c r="C1746" s="61"/>
      <c r="D1746" s="61"/>
      <c r="E1746" s="61"/>
      <c r="F1746" s="61"/>
      <c r="G1746" s="179"/>
      <c r="H1746" s="61"/>
      <c r="I1746" s="61"/>
      <c r="J1746" s="61"/>
      <c r="K1746" s="61"/>
      <c r="L1746" s="61"/>
      <c r="M1746" s="61"/>
      <c r="N1746" s="61"/>
      <c r="O1746" s="61"/>
      <c r="P1746" s="61"/>
      <c r="Q1746" s="61"/>
      <c r="R1746" s="61"/>
      <c r="S1746" s="61"/>
      <c r="T1746" s="61"/>
      <c r="U1746" s="61"/>
      <c r="V1746" s="61"/>
      <c r="W1746" s="61"/>
      <c r="X1746" s="61"/>
      <c r="Y1746" s="61"/>
      <c r="Z1746" s="61"/>
    </row>
    <row r="1747" spans="1:26" ht="13">
      <c r="A1747" s="61"/>
      <c r="B1747" s="61"/>
      <c r="C1747" s="61"/>
      <c r="D1747" s="61"/>
      <c r="E1747" s="61"/>
      <c r="F1747" s="61"/>
      <c r="G1747" s="179"/>
      <c r="H1747" s="61"/>
      <c r="I1747" s="61"/>
      <c r="J1747" s="61"/>
      <c r="K1747" s="61"/>
      <c r="L1747" s="61"/>
      <c r="M1747" s="61"/>
      <c r="N1747" s="61"/>
      <c r="O1747" s="61"/>
      <c r="P1747" s="61"/>
      <c r="Q1747" s="61"/>
      <c r="R1747" s="61"/>
      <c r="S1747" s="61"/>
      <c r="T1747" s="61"/>
      <c r="U1747" s="61"/>
      <c r="V1747" s="61"/>
      <c r="W1747" s="61"/>
      <c r="X1747" s="61"/>
      <c r="Y1747" s="61"/>
      <c r="Z1747" s="61"/>
    </row>
    <row r="1748" spans="1:26" ht="13">
      <c r="A1748" s="61"/>
      <c r="B1748" s="61"/>
      <c r="C1748" s="61"/>
      <c r="D1748" s="61"/>
      <c r="E1748" s="61"/>
      <c r="F1748" s="61"/>
      <c r="G1748" s="179"/>
      <c r="H1748" s="61"/>
      <c r="I1748" s="61"/>
      <c r="J1748" s="61"/>
      <c r="K1748" s="61"/>
      <c r="L1748" s="61"/>
      <c r="M1748" s="61"/>
      <c r="N1748" s="61"/>
      <c r="O1748" s="61"/>
      <c r="P1748" s="61"/>
      <c r="Q1748" s="61"/>
      <c r="R1748" s="61"/>
      <c r="S1748" s="61"/>
      <c r="T1748" s="61"/>
      <c r="U1748" s="61"/>
      <c r="V1748" s="61"/>
      <c r="W1748" s="61"/>
      <c r="X1748" s="61"/>
      <c r="Y1748" s="61"/>
      <c r="Z1748" s="61"/>
    </row>
    <row r="1749" spans="1:26" ht="13">
      <c r="A1749" s="61"/>
      <c r="B1749" s="61"/>
      <c r="C1749" s="61"/>
      <c r="D1749" s="61"/>
      <c r="E1749" s="61"/>
      <c r="F1749" s="61"/>
      <c r="G1749" s="179"/>
      <c r="H1749" s="61"/>
      <c r="I1749" s="61"/>
      <c r="J1749" s="61"/>
      <c r="K1749" s="61"/>
      <c r="L1749" s="61"/>
      <c r="M1749" s="61"/>
      <c r="N1749" s="61"/>
      <c r="O1749" s="61"/>
      <c r="P1749" s="61"/>
      <c r="Q1749" s="61"/>
      <c r="R1749" s="61"/>
      <c r="S1749" s="61"/>
      <c r="T1749" s="61"/>
      <c r="U1749" s="61"/>
      <c r="V1749" s="61"/>
      <c r="W1749" s="61"/>
      <c r="X1749" s="61"/>
      <c r="Y1749" s="61"/>
      <c r="Z1749" s="61"/>
    </row>
    <row r="1750" spans="1:26" ht="13">
      <c r="A1750" s="61"/>
      <c r="B1750" s="61"/>
      <c r="C1750" s="61"/>
      <c r="D1750" s="61"/>
      <c r="E1750" s="61"/>
      <c r="F1750" s="61"/>
      <c r="G1750" s="179"/>
      <c r="H1750" s="61"/>
      <c r="I1750" s="61"/>
      <c r="J1750" s="61"/>
      <c r="K1750" s="61"/>
      <c r="L1750" s="61"/>
      <c r="M1750" s="61"/>
      <c r="N1750" s="61"/>
      <c r="O1750" s="61"/>
      <c r="P1750" s="61"/>
      <c r="Q1750" s="61"/>
      <c r="R1750" s="61"/>
      <c r="S1750" s="61"/>
      <c r="T1750" s="61"/>
      <c r="U1750" s="61"/>
      <c r="V1750" s="61"/>
      <c r="W1750" s="61"/>
      <c r="X1750" s="61"/>
      <c r="Y1750" s="61"/>
      <c r="Z1750" s="61"/>
    </row>
    <row r="1751" spans="1:26" ht="13">
      <c r="A1751" s="61"/>
      <c r="B1751" s="61"/>
      <c r="C1751" s="61"/>
      <c r="D1751" s="61"/>
      <c r="E1751" s="61"/>
      <c r="F1751" s="61"/>
      <c r="G1751" s="179"/>
      <c r="H1751" s="61"/>
      <c r="I1751" s="61"/>
      <c r="J1751" s="61"/>
      <c r="K1751" s="61"/>
      <c r="L1751" s="61"/>
      <c r="M1751" s="61"/>
      <c r="N1751" s="61"/>
      <c r="O1751" s="61"/>
      <c r="P1751" s="61"/>
      <c r="Q1751" s="61"/>
      <c r="R1751" s="61"/>
      <c r="S1751" s="61"/>
      <c r="T1751" s="61"/>
      <c r="U1751" s="61"/>
      <c r="V1751" s="61"/>
      <c r="W1751" s="61"/>
      <c r="X1751" s="61"/>
      <c r="Y1751" s="61"/>
      <c r="Z1751" s="61"/>
    </row>
    <row r="1752" spans="1:26" ht="13">
      <c r="A1752" s="61"/>
      <c r="B1752" s="61"/>
      <c r="C1752" s="61"/>
      <c r="D1752" s="61"/>
      <c r="E1752" s="61"/>
      <c r="F1752" s="61"/>
      <c r="G1752" s="179"/>
      <c r="H1752" s="61"/>
      <c r="I1752" s="61"/>
      <c r="J1752" s="61"/>
      <c r="K1752" s="61"/>
      <c r="L1752" s="61"/>
      <c r="M1752" s="61"/>
      <c r="N1752" s="61"/>
      <c r="O1752" s="61"/>
      <c r="P1752" s="61"/>
      <c r="Q1752" s="61"/>
      <c r="R1752" s="61"/>
      <c r="S1752" s="61"/>
      <c r="T1752" s="61"/>
      <c r="U1752" s="61"/>
      <c r="V1752" s="61"/>
      <c r="W1752" s="61"/>
      <c r="X1752" s="61"/>
      <c r="Y1752" s="61"/>
      <c r="Z1752" s="61"/>
    </row>
    <row r="1753" spans="1:26" ht="13">
      <c r="A1753" s="61"/>
      <c r="B1753" s="61"/>
      <c r="C1753" s="61"/>
      <c r="D1753" s="61"/>
      <c r="E1753" s="61"/>
      <c r="F1753" s="61"/>
      <c r="G1753" s="179"/>
      <c r="H1753" s="61"/>
      <c r="I1753" s="61"/>
      <c r="J1753" s="61"/>
      <c r="K1753" s="61"/>
      <c r="L1753" s="61"/>
      <c r="M1753" s="61"/>
      <c r="N1753" s="61"/>
      <c r="O1753" s="61"/>
      <c r="P1753" s="61"/>
      <c r="Q1753" s="61"/>
      <c r="R1753" s="61"/>
      <c r="S1753" s="61"/>
      <c r="T1753" s="61"/>
      <c r="U1753" s="61"/>
      <c r="V1753" s="61"/>
      <c r="W1753" s="61"/>
      <c r="X1753" s="61"/>
      <c r="Y1753" s="61"/>
      <c r="Z1753" s="61"/>
    </row>
    <row r="1754" spans="1:26" ht="13">
      <c r="A1754" s="61"/>
      <c r="B1754" s="61"/>
      <c r="C1754" s="61"/>
      <c r="D1754" s="61"/>
      <c r="E1754" s="61"/>
      <c r="F1754" s="61"/>
      <c r="G1754" s="179"/>
      <c r="H1754" s="61"/>
      <c r="I1754" s="61"/>
      <c r="J1754" s="61"/>
      <c r="K1754" s="61"/>
      <c r="L1754" s="61"/>
      <c r="M1754" s="61"/>
      <c r="N1754" s="61"/>
      <c r="O1754" s="61"/>
      <c r="P1754" s="61"/>
      <c r="Q1754" s="61"/>
      <c r="R1754" s="61"/>
      <c r="S1754" s="61"/>
      <c r="T1754" s="61"/>
      <c r="U1754" s="61"/>
      <c r="V1754" s="61"/>
      <c r="W1754" s="61"/>
      <c r="X1754" s="61"/>
      <c r="Y1754" s="61"/>
      <c r="Z1754" s="61"/>
    </row>
    <row r="1755" spans="1:26" ht="13">
      <c r="A1755" s="61"/>
      <c r="B1755" s="61"/>
      <c r="C1755" s="61"/>
      <c r="D1755" s="61"/>
      <c r="E1755" s="61"/>
      <c r="F1755" s="61"/>
      <c r="G1755" s="179"/>
      <c r="H1755" s="61"/>
      <c r="I1755" s="61"/>
      <c r="J1755" s="61"/>
      <c r="K1755" s="61"/>
      <c r="L1755" s="61"/>
      <c r="M1755" s="61"/>
      <c r="N1755" s="61"/>
      <c r="O1755" s="61"/>
      <c r="P1755" s="61"/>
      <c r="Q1755" s="61"/>
      <c r="R1755" s="61"/>
      <c r="S1755" s="61"/>
      <c r="T1755" s="61"/>
      <c r="U1755" s="61"/>
      <c r="V1755" s="61"/>
      <c r="W1755" s="61"/>
      <c r="X1755" s="61"/>
      <c r="Y1755" s="61"/>
      <c r="Z1755" s="61"/>
    </row>
    <row r="1756" spans="1:26" ht="13">
      <c r="A1756" s="61"/>
      <c r="B1756" s="61"/>
      <c r="C1756" s="61"/>
      <c r="D1756" s="61"/>
      <c r="E1756" s="61"/>
      <c r="F1756" s="61"/>
      <c r="G1756" s="179"/>
      <c r="H1756" s="61"/>
      <c r="I1756" s="61"/>
      <c r="J1756" s="61"/>
      <c r="K1756" s="61"/>
      <c r="L1756" s="61"/>
      <c r="M1756" s="61"/>
      <c r="N1756" s="61"/>
      <c r="O1756" s="61"/>
      <c r="P1756" s="61"/>
      <c r="Q1756" s="61"/>
      <c r="R1756" s="61"/>
      <c r="S1756" s="61"/>
      <c r="T1756" s="61"/>
      <c r="U1756" s="61"/>
      <c r="V1756" s="61"/>
      <c r="W1756" s="61"/>
      <c r="X1756" s="61"/>
      <c r="Y1756" s="61"/>
      <c r="Z1756" s="61"/>
    </row>
    <row r="1757" spans="1:26" ht="13">
      <c r="A1757" s="61"/>
      <c r="B1757" s="61"/>
      <c r="C1757" s="61"/>
      <c r="D1757" s="61"/>
      <c r="E1757" s="61"/>
      <c r="F1757" s="61"/>
      <c r="G1757" s="179"/>
      <c r="H1757" s="61"/>
      <c r="I1757" s="61"/>
      <c r="J1757" s="61"/>
      <c r="K1757" s="61"/>
      <c r="L1757" s="61"/>
      <c r="M1757" s="61"/>
      <c r="N1757" s="61"/>
      <c r="O1757" s="61"/>
      <c r="P1757" s="61"/>
      <c r="Q1757" s="61"/>
      <c r="R1757" s="61"/>
      <c r="S1757" s="61"/>
      <c r="T1757" s="61"/>
      <c r="U1757" s="61"/>
      <c r="V1757" s="61"/>
      <c r="W1757" s="61"/>
      <c r="X1757" s="61"/>
      <c r="Y1757" s="61"/>
      <c r="Z1757" s="61"/>
    </row>
    <row r="1758" spans="1:26" ht="13">
      <c r="A1758" s="61"/>
      <c r="B1758" s="61"/>
      <c r="C1758" s="61"/>
      <c r="D1758" s="61"/>
      <c r="E1758" s="61"/>
      <c r="F1758" s="61"/>
      <c r="G1758" s="179"/>
      <c r="H1758" s="61"/>
      <c r="I1758" s="61"/>
      <c r="J1758" s="61"/>
      <c r="K1758" s="61"/>
      <c r="L1758" s="61"/>
      <c r="M1758" s="61"/>
      <c r="N1758" s="61"/>
      <c r="O1758" s="61"/>
      <c r="P1758" s="61"/>
      <c r="Q1758" s="61"/>
      <c r="R1758" s="61"/>
      <c r="S1758" s="61"/>
      <c r="T1758" s="61"/>
      <c r="U1758" s="61"/>
      <c r="V1758" s="61"/>
      <c r="W1758" s="61"/>
      <c r="X1758" s="61"/>
      <c r="Y1758" s="61"/>
      <c r="Z1758" s="61"/>
    </row>
    <row r="1759" spans="1:26" ht="13">
      <c r="A1759" s="61"/>
      <c r="B1759" s="61"/>
      <c r="C1759" s="61"/>
      <c r="D1759" s="61"/>
      <c r="E1759" s="61"/>
      <c r="F1759" s="61"/>
      <c r="G1759" s="179"/>
      <c r="H1759" s="61"/>
      <c r="I1759" s="61"/>
      <c r="J1759" s="61"/>
      <c r="K1759" s="61"/>
      <c r="L1759" s="61"/>
      <c r="M1759" s="61"/>
      <c r="N1759" s="61"/>
      <c r="O1759" s="61"/>
      <c r="P1759" s="61"/>
      <c r="Q1759" s="61"/>
      <c r="R1759" s="61"/>
      <c r="S1759" s="61"/>
      <c r="T1759" s="61"/>
      <c r="U1759" s="61"/>
      <c r="V1759" s="61"/>
      <c r="W1759" s="61"/>
      <c r="X1759" s="61"/>
      <c r="Y1759" s="61"/>
      <c r="Z1759" s="61"/>
    </row>
    <row r="1760" spans="1:26" ht="13">
      <c r="A1760" s="61"/>
      <c r="B1760" s="61"/>
      <c r="C1760" s="61"/>
      <c r="D1760" s="61"/>
      <c r="E1760" s="61"/>
      <c r="F1760" s="61"/>
      <c r="G1760" s="179"/>
      <c r="H1760" s="61"/>
      <c r="I1760" s="61"/>
      <c r="J1760" s="61"/>
      <c r="K1760" s="61"/>
      <c r="L1760" s="61"/>
      <c r="M1760" s="61"/>
      <c r="N1760" s="61"/>
      <c r="O1760" s="61"/>
      <c r="P1760" s="61"/>
      <c r="Q1760" s="61"/>
      <c r="R1760" s="61"/>
      <c r="S1760" s="61"/>
      <c r="T1760" s="61"/>
      <c r="U1760" s="61"/>
      <c r="V1760" s="61"/>
      <c r="W1760" s="61"/>
      <c r="X1760" s="61"/>
      <c r="Y1760" s="61"/>
      <c r="Z1760" s="61"/>
    </row>
    <row r="1761" spans="1:26" ht="13">
      <c r="A1761" s="61"/>
      <c r="B1761" s="61"/>
      <c r="C1761" s="61"/>
      <c r="D1761" s="61"/>
      <c r="E1761" s="61"/>
      <c r="F1761" s="61"/>
      <c r="G1761" s="179"/>
      <c r="H1761" s="61"/>
      <c r="I1761" s="61"/>
      <c r="J1761" s="61"/>
      <c r="K1761" s="61"/>
      <c r="L1761" s="61"/>
      <c r="M1761" s="61"/>
      <c r="N1761" s="61"/>
      <c r="O1761" s="61"/>
      <c r="P1761" s="61"/>
      <c r="Q1761" s="61"/>
      <c r="R1761" s="61"/>
      <c r="S1761" s="61"/>
      <c r="T1761" s="61"/>
      <c r="U1761" s="61"/>
      <c r="V1761" s="61"/>
      <c r="W1761" s="61"/>
      <c r="X1761" s="61"/>
      <c r="Y1761" s="61"/>
      <c r="Z1761" s="61"/>
    </row>
    <row r="1762" spans="1:26" ht="13">
      <c r="A1762" s="61"/>
      <c r="B1762" s="61"/>
      <c r="C1762" s="61"/>
      <c r="D1762" s="61"/>
      <c r="E1762" s="61"/>
      <c r="F1762" s="61"/>
      <c r="G1762" s="179"/>
      <c r="H1762" s="61"/>
      <c r="I1762" s="61"/>
      <c r="J1762" s="61"/>
      <c r="K1762" s="61"/>
      <c r="L1762" s="61"/>
      <c r="M1762" s="61"/>
      <c r="N1762" s="61"/>
      <c r="O1762" s="61"/>
      <c r="P1762" s="61"/>
      <c r="Q1762" s="61"/>
      <c r="R1762" s="61"/>
      <c r="S1762" s="61"/>
      <c r="T1762" s="61"/>
      <c r="U1762" s="61"/>
      <c r="V1762" s="61"/>
      <c r="W1762" s="61"/>
      <c r="X1762" s="61"/>
      <c r="Y1762" s="61"/>
      <c r="Z1762" s="61"/>
    </row>
    <row r="1763" spans="1:26" ht="13">
      <c r="A1763" s="61"/>
      <c r="B1763" s="61"/>
      <c r="C1763" s="61"/>
      <c r="D1763" s="61"/>
      <c r="E1763" s="61"/>
      <c r="F1763" s="61"/>
      <c r="G1763" s="179"/>
      <c r="H1763" s="61"/>
      <c r="I1763" s="61"/>
      <c r="J1763" s="61"/>
      <c r="K1763" s="61"/>
      <c r="L1763" s="61"/>
      <c r="M1763" s="61"/>
      <c r="N1763" s="61"/>
      <c r="O1763" s="61"/>
      <c r="P1763" s="61"/>
      <c r="Q1763" s="61"/>
      <c r="R1763" s="61"/>
      <c r="S1763" s="61"/>
      <c r="T1763" s="61"/>
      <c r="U1763" s="61"/>
      <c r="V1763" s="61"/>
      <c r="W1763" s="61"/>
      <c r="X1763" s="61"/>
      <c r="Y1763" s="61"/>
      <c r="Z1763" s="61"/>
    </row>
    <row r="1764" spans="1:26" ht="13">
      <c r="A1764" s="61"/>
      <c r="B1764" s="61"/>
      <c r="C1764" s="61"/>
      <c r="D1764" s="61"/>
      <c r="E1764" s="61"/>
      <c r="F1764" s="61"/>
      <c r="G1764" s="179"/>
      <c r="H1764" s="61"/>
      <c r="I1764" s="61"/>
      <c r="J1764" s="61"/>
      <c r="K1764" s="61"/>
      <c r="L1764" s="61"/>
      <c r="M1764" s="61"/>
      <c r="N1764" s="61"/>
      <c r="O1764" s="61"/>
      <c r="P1764" s="61"/>
      <c r="Q1764" s="61"/>
      <c r="R1764" s="61"/>
      <c r="S1764" s="61"/>
      <c r="T1764" s="61"/>
      <c r="U1764" s="61"/>
      <c r="V1764" s="61"/>
      <c r="W1764" s="61"/>
      <c r="X1764" s="61"/>
      <c r="Y1764" s="61"/>
      <c r="Z1764" s="61"/>
    </row>
    <row r="1765" spans="1:26" ht="13">
      <c r="A1765" s="61"/>
      <c r="B1765" s="61"/>
      <c r="C1765" s="61"/>
      <c r="D1765" s="61"/>
      <c r="E1765" s="61"/>
      <c r="F1765" s="61"/>
      <c r="G1765" s="179"/>
      <c r="H1765" s="61"/>
      <c r="I1765" s="61"/>
      <c r="J1765" s="61"/>
      <c r="K1765" s="61"/>
      <c r="L1765" s="61"/>
      <c r="M1765" s="61"/>
      <c r="N1765" s="61"/>
      <c r="O1765" s="61"/>
      <c r="P1765" s="61"/>
      <c r="Q1765" s="61"/>
      <c r="R1765" s="61"/>
      <c r="S1765" s="61"/>
      <c r="T1765" s="61"/>
      <c r="U1765" s="61"/>
      <c r="V1765" s="61"/>
      <c r="W1765" s="61"/>
      <c r="X1765" s="61"/>
      <c r="Y1765" s="61"/>
      <c r="Z1765" s="61"/>
    </row>
    <row r="1766" spans="1:26" ht="13">
      <c r="A1766" s="61"/>
      <c r="B1766" s="61"/>
      <c r="C1766" s="61"/>
      <c r="D1766" s="61"/>
      <c r="E1766" s="61"/>
      <c r="F1766" s="61"/>
      <c r="G1766" s="179"/>
      <c r="H1766" s="61"/>
      <c r="I1766" s="61"/>
      <c r="J1766" s="61"/>
      <c r="K1766" s="61"/>
      <c r="L1766" s="61"/>
      <c r="M1766" s="61"/>
      <c r="N1766" s="61"/>
      <c r="O1766" s="61"/>
      <c r="P1766" s="61"/>
      <c r="Q1766" s="61"/>
      <c r="R1766" s="61"/>
      <c r="S1766" s="61"/>
      <c r="T1766" s="61"/>
      <c r="U1766" s="61"/>
      <c r="V1766" s="61"/>
      <c r="W1766" s="61"/>
      <c r="X1766" s="61"/>
      <c r="Y1766" s="61"/>
      <c r="Z1766" s="61"/>
    </row>
    <row r="1767" spans="1:26" ht="13">
      <c r="A1767" s="61"/>
      <c r="B1767" s="61"/>
      <c r="C1767" s="61"/>
      <c r="D1767" s="61"/>
      <c r="E1767" s="61"/>
      <c r="F1767" s="61"/>
      <c r="G1767" s="179"/>
      <c r="H1767" s="61"/>
      <c r="I1767" s="61"/>
      <c r="J1767" s="61"/>
      <c r="K1767" s="61"/>
      <c r="L1767" s="61"/>
      <c r="M1767" s="61"/>
      <c r="N1767" s="61"/>
      <c r="O1767" s="61"/>
      <c r="P1767" s="61"/>
      <c r="Q1767" s="61"/>
      <c r="R1767" s="61"/>
      <c r="S1767" s="61"/>
      <c r="T1767" s="61"/>
      <c r="U1767" s="61"/>
      <c r="V1767" s="61"/>
      <c r="W1767" s="61"/>
      <c r="X1767" s="61"/>
      <c r="Y1767" s="61"/>
      <c r="Z1767" s="61"/>
    </row>
    <row r="1768" spans="1:26" ht="13">
      <c r="A1768" s="61"/>
      <c r="B1768" s="61"/>
      <c r="C1768" s="61"/>
      <c r="D1768" s="61"/>
      <c r="E1768" s="61"/>
      <c r="F1768" s="61"/>
      <c r="G1768" s="179"/>
      <c r="H1768" s="61"/>
      <c r="I1768" s="61"/>
      <c r="J1768" s="61"/>
      <c r="K1768" s="61"/>
      <c r="L1768" s="61"/>
      <c r="M1768" s="61"/>
      <c r="N1768" s="61"/>
      <c r="O1768" s="61"/>
      <c r="P1768" s="61"/>
      <c r="Q1768" s="61"/>
      <c r="R1768" s="61"/>
      <c r="S1768" s="61"/>
      <c r="T1768" s="61"/>
      <c r="U1768" s="61"/>
      <c r="V1768" s="61"/>
      <c r="W1768" s="61"/>
      <c r="X1768" s="61"/>
      <c r="Y1768" s="61"/>
      <c r="Z1768" s="61"/>
    </row>
    <row r="1769" spans="1:26" ht="13">
      <c r="A1769" s="61"/>
      <c r="B1769" s="61"/>
      <c r="C1769" s="61"/>
      <c r="D1769" s="61"/>
      <c r="E1769" s="61"/>
      <c r="F1769" s="61"/>
      <c r="G1769" s="179"/>
      <c r="H1769" s="61"/>
      <c r="I1769" s="61"/>
      <c r="J1769" s="61"/>
      <c r="K1769" s="61"/>
      <c r="L1769" s="61"/>
      <c r="M1769" s="61"/>
      <c r="N1769" s="61"/>
      <c r="O1769" s="61"/>
      <c r="P1769" s="61"/>
      <c r="Q1769" s="61"/>
      <c r="R1769" s="61"/>
      <c r="S1769" s="61"/>
      <c r="T1769" s="61"/>
      <c r="U1769" s="61"/>
      <c r="V1769" s="61"/>
      <c r="W1769" s="61"/>
      <c r="X1769" s="61"/>
      <c r="Y1769" s="61"/>
      <c r="Z1769" s="61"/>
    </row>
    <row r="1770" spans="1:26" ht="13">
      <c r="A1770" s="61"/>
      <c r="B1770" s="61"/>
      <c r="C1770" s="61"/>
      <c r="D1770" s="61"/>
      <c r="E1770" s="61"/>
      <c r="F1770" s="61"/>
      <c r="G1770" s="179"/>
      <c r="H1770" s="61"/>
      <c r="I1770" s="61"/>
      <c r="J1770" s="61"/>
      <c r="K1770" s="61"/>
      <c r="L1770" s="61"/>
      <c r="M1770" s="61"/>
      <c r="N1770" s="61"/>
      <c r="O1770" s="61"/>
      <c r="P1770" s="61"/>
      <c r="Q1770" s="61"/>
      <c r="R1770" s="61"/>
      <c r="S1770" s="61"/>
      <c r="T1770" s="61"/>
      <c r="U1770" s="61"/>
      <c r="V1770" s="61"/>
      <c r="W1770" s="61"/>
      <c r="X1770" s="61"/>
      <c r="Y1770" s="61"/>
      <c r="Z1770" s="61"/>
    </row>
    <row r="1771" spans="1:26" ht="13">
      <c r="A1771" s="61"/>
      <c r="B1771" s="61"/>
      <c r="C1771" s="61"/>
      <c r="D1771" s="61"/>
      <c r="E1771" s="61"/>
      <c r="F1771" s="61"/>
      <c r="G1771" s="179"/>
      <c r="H1771" s="61"/>
      <c r="I1771" s="61"/>
      <c r="J1771" s="61"/>
      <c r="K1771" s="61"/>
      <c r="L1771" s="61"/>
      <c r="M1771" s="61"/>
      <c r="N1771" s="61"/>
      <c r="O1771" s="61"/>
      <c r="P1771" s="61"/>
      <c r="Q1771" s="61"/>
      <c r="R1771" s="61"/>
      <c r="S1771" s="61"/>
      <c r="T1771" s="61"/>
      <c r="U1771" s="61"/>
      <c r="V1771" s="61"/>
      <c r="W1771" s="61"/>
      <c r="X1771" s="61"/>
      <c r="Y1771" s="61"/>
      <c r="Z1771" s="61"/>
    </row>
    <row r="1772" spans="1:26" ht="13">
      <c r="A1772" s="61"/>
      <c r="B1772" s="61"/>
      <c r="C1772" s="61"/>
      <c r="D1772" s="61"/>
      <c r="E1772" s="61"/>
      <c r="F1772" s="61"/>
      <c r="G1772" s="179"/>
      <c r="H1772" s="61"/>
      <c r="I1772" s="61"/>
      <c r="J1772" s="61"/>
      <c r="K1772" s="61"/>
      <c r="L1772" s="61"/>
      <c r="M1772" s="61"/>
      <c r="N1772" s="61"/>
      <c r="O1772" s="61"/>
      <c r="P1772" s="61"/>
      <c r="Q1772" s="61"/>
      <c r="R1772" s="61"/>
      <c r="S1772" s="61"/>
      <c r="T1772" s="61"/>
      <c r="U1772" s="61"/>
      <c r="V1772" s="61"/>
      <c r="W1772" s="61"/>
      <c r="X1772" s="61"/>
      <c r="Y1772" s="61"/>
      <c r="Z1772" s="61"/>
    </row>
    <row r="1773" spans="1:26" ht="13">
      <c r="A1773" s="61"/>
      <c r="B1773" s="61"/>
      <c r="C1773" s="61"/>
      <c r="D1773" s="61"/>
      <c r="E1773" s="61"/>
      <c r="F1773" s="61"/>
      <c r="G1773" s="179"/>
      <c r="H1773" s="61"/>
      <c r="I1773" s="61"/>
      <c r="J1773" s="61"/>
      <c r="K1773" s="61"/>
      <c r="L1773" s="61"/>
      <c r="M1773" s="61"/>
      <c r="N1773" s="61"/>
      <c r="O1773" s="61"/>
      <c r="P1773" s="61"/>
      <c r="Q1773" s="61"/>
      <c r="R1773" s="61"/>
      <c r="S1773" s="61"/>
      <c r="T1773" s="61"/>
      <c r="U1773" s="61"/>
      <c r="V1773" s="61"/>
      <c r="W1773" s="61"/>
      <c r="X1773" s="61"/>
      <c r="Y1773" s="61"/>
      <c r="Z1773" s="61"/>
    </row>
    <row r="1774" spans="1:26" ht="13">
      <c r="A1774" s="61"/>
      <c r="B1774" s="61"/>
      <c r="C1774" s="61"/>
      <c r="D1774" s="61"/>
      <c r="E1774" s="61"/>
      <c r="F1774" s="61"/>
      <c r="G1774" s="179"/>
      <c r="H1774" s="61"/>
      <c r="I1774" s="61"/>
      <c r="J1774" s="61"/>
      <c r="K1774" s="61"/>
      <c r="L1774" s="61"/>
      <c r="M1774" s="61"/>
      <c r="N1774" s="61"/>
      <c r="O1774" s="61"/>
      <c r="P1774" s="61"/>
      <c r="Q1774" s="61"/>
      <c r="R1774" s="61"/>
      <c r="S1774" s="61"/>
      <c r="T1774" s="61"/>
      <c r="U1774" s="61"/>
      <c r="V1774" s="61"/>
      <c r="W1774" s="61"/>
      <c r="X1774" s="61"/>
      <c r="Y1774" s="61"/>
      <c r="Z1774" s="61"/>
    </row>
    <row r="1775" spans="1:26" ht="13">
      <c r="A1775" s="61"/>
      <c r="B1775" s="61"/>
      <c r="C1775" s="61"/>
      <c r="D1775" s="61"/>
      <c r="E1775" s="61"/>
      <c r="F1775" s="61"/>
      <c r="G1775" s="179"/>
      <c r="H1775" s="61"/>
      <c r="I1775" s="61"/>
      <c r="J1775" s="61"/>
      <c r="K1775" s="61"/>
      <c r="L1775" s="61"/>
      <c r="M1775" s="61"/>
      <c r="N1775" s="61"/>
      <c r="O1775" s="61"/>
      <c r="P1775" s="61"/>
      <c r="Q1775" s="61"/>
      <c r="R1775" s="61"/>
      <c r="S1775" s="61"/>
      <c r="T1775" s="61"/>
      <c r="U1775" s="61"/>
      <c r="V1775" s="61"/>
      <c r="W1775" s="61"/>
      <c r="X1775" s="61"/>
      <c r="Y1775" s="61"/>
      <c r="Z1775" s="61"/>
    </row>
    <row r="1776" spans="1:26" ht="13">
      <c r="A1776" s="61"/>
      <c r="B1776" s="61"/>
      <c r="C1776" s="61"/>
      <c r="D1776" s="61"/>
      <c r="E1776" s="61"/>
      <c r="F1776" s="61"/>
      <c r="G1776" s="179"/>
      <c r="H1776" s="61"/>
      <c r="I1776" s="61"/>
      <c r="J1776" s="61"/>
      <c r="K1776" s="61"/>
      <c r="L1776" s="61"/>
      <c r="M1776" s="61"/>
      <c r="N1776" s="61"/>
      <c r="O1776" s="61"/>
      <c r="P1776" s="61"/>
      <c r="Q1776" s="61"/>
      <c r="R1776" s="61"/>
      <c r="S1776" s="61"/>
      <c r="T1776" s="61"/>
      <c r="U1776" s="61"/>
      <c r="V1776" s="61"/>
      <c r="W1776" s="61"/>
      <c r="X1776" s="61"/>
      <c r="Y1776" s="61"/>
      <c r="Z1776" s="61"/>
    </row>
    <row r="1777" spans="1:26" ht="13">
      <c r="A1777" s="61"/>
      <c r="B1777" s="61"/>
      <c r="C1777" s="61"/>
      <c r="D1777" s="61"/>
      <c r="E1777" s="61"/>
      <c r="F1777" s="61"/>
      <c r="G1777" s="179"/>
      <c r="H1777" s="61"/>
      <c r="I1777" s="61"/>
      <c r="J1777" s="61"/>
      <c r="K1777" s="61"/>
      <c r="L1777" s="61"/>
      <c r="M1777" s="61"/>
      <c r="N1777" s="61"/>
      <c r="O1777" s="61"/>
      <c r="P1777" s="61"/>
      <c r="Q1777" s="61"/>
      <c r="R1777" s="61"/>
      <c r="S1777" s="61"/>
      <c r="T1777" s="61"/>
      <c r="U1777" s="61"/>
      <c r="V1777" s="61"/>
      <c r="W1777" s="61"/>
      <c r="X1777" s="61"/>
      <c r="Y1777" s="61"/>
      <c r="Z1777" s="61"/>
    </row>
    <row r="1778" spans="1:26" ht="13">
      <c r="A1778" s="61"/>
      <c r="B1778" s="61"/>
      <c r="C1778" s="61"/>
      <c r="D1778" s="61"/>
      <c r="E1778" s="61"/>
      <c r="F1778" s="61"/>
      <c r="G1778" s="179"/>
      <c r="H1778" s="61"/>
      <c r="I1778" s="61"/>
      <c r="J1778" s="61"/>
      <c r="K1778" s="61"/>
      <c r="L1778" s="61"/>
      <c r="M1778" s="61"/>
      <c r="N1778" s="61"/>
      <c r="O1778" s="61"/>
      <c r="P1778" s="61"/>
      <c r="Q1778" s="61"/>
      <c r="R1778" s="61"/>
      <c r="S1778" s="61"/>
      <c r="T1778" s="61"/>
      <c r="U1778" s="61"/>
      <c r="V1778" s="61"/>
      <c r="W1778" s="61"/>
      <c r="X1778" s="61"/>
      <c r="Y1778" s="61"/>
      <c r="Z1778" s="61"/>
    </row>
    <row r="1779" spans="1:26" ht="13">
      <c r="A1779" s="61"/>
      <c r="B1779" s="61"/>
      <c r="C1779" s="61"/>
      <c r="D1779" s="61"/>
      <c r="E1779" s="61"/>
      <c r="F1779" s="61"/>
      <c r="G1779" s="179"/>
      <c r="H1779" s="61"/>
      <c r="I1779" s="61"/>
      <c r="J1779" s="61"/>
      <c r="K1779" s="61"/>
      <c r="L1779" s="61"/>
      <c r="M1779" s="61"/>
      <c r="N1779" s="61"/>
      <c r="O1779" s="61"/>
      <c r="P1779" s="61"/>
      <c r="Q1779" s="61"/>
      <c r="R1779" s="61"/>
      <c r="S1779" s="61"/>
      <c r="T1779" s="61"/>
      <c r="U1779" s="61"/>
      <c r="V1779" s="61"/>
      <c r="W1779" s="61"/>
      <c r="X1779" s="61"/>
      <c r="Y1779" s="61"/>
      <c r="Z1779" s="61"/>
    </row>
    <row r="1780" spans="1:26" ht="13">
      <c r="A1780" s="61"/>
      <c r="B1780" s="61"/>
      <c r="C1780" s="61"/>
      <c r="D1780" s="61"/>
      <c r="E1780" s="61"/>
      <c r="F1780" s="61"/>
      <c r="G1780" s="179"/>
      <c r="H1780" s="61"/>
      <c r="I1780" s="61"/>
      <c r="J1780" s="61"/>
      <c r="K1780" s="61"/>
      <c r="L1780" s="61"/>
      <c r="M1780" s="61"/>
      <c r="N1780" s="61"/>
      <c r="O1780" s="61"/>
      <c r="P1780" s="61"/>
      <c r="Q1780" s="61"/>
      <c r="R1780" s="61"/>
      <c r="S1780" s="61"/>
      <c r="T1780" s="61"/>
      <c r="U1780" s="61"/>
      <c r="V1780" s="61"/>
      <c r="W1780" s="61"/>
      <c r="X1780" s="61"/>
      <c r="Y1780" s="61"/>
      <c r="Z1780" s="61"/>
    </row>
    <row r="1781" spans="1:26" ht="13">
      <c r="A1781" s="61"/>
      <c r="B1781" s="61"/>
      <c r="C1781" s="61"/>
      <c r="D1781" s="61"/>
      <c r="E1781" s="61"/>
      <c r="F1781" s="61"/>
      <c r="G1781" s="179"/>
      <c r="H1781" s="61"/>
      <c r="I1781" s="61"/>
      <c r="J1781" s="61"/>
      <c r="K1781" s="61"/>
      <c r="L1781" s="61"/>
      <c r="M1781" s="61"/>
      <c r="N1781" s="61"/>
      <c r="O1781" s="61"/>
      <c r="P1781" s="61"/>
      <c r="Q1781" s="61"/>
      <c r="R1781" s="61"/>
      <c r="S1781" s="61"/>
      <c r="T1781" s="61"/>
      <c r="U1781" s="61"/>
      <c r="V1781" s="61"/>
      <c r="W1781" s="61"/>
      <c r="X1781" s="61"/>
      <c r="Y1781" s="61"/>
      <c r="Z1781" s="61"/>
    </row>
    <row r="1782" spans="1:26" ht="13">
      <c r="A1782" s="61"/>
      <c r="B1782" s="61"/>
      <c r="C1782" s="61"/>
      <c r="D1782" s="61"/>
      <c r="E1782" s="61"/>
      <c r="F1782" s="61"/>
      <c r="G1782" s="179"/>
      <c r="H1782" s="61"/>
      <c r="I1782" s="61"/>
      <c r="J1782" s="61"/>
      <c r="K1782" s="61"/>
      <c r="L1782" s="61"/>
      <c r="M1782" s="61"/>
      <c r="N1782" s="61"/>
      <c r="O1782" s="61"/>
      <c r="P1782" s="61"/>
      <c r="Q1782" s="61"/>
      <c r="R1782" s="61"/>
      <c r="S1782" s="61"/>
      <c r="T1782" s="61"/>
      <c r="U1782" s="61"/>
      <c r="V1782" s="61"/>
      <c r="W1782" s="61"/>
      <c r="X1782" s="61"/>
      <c r="Y1782" s="61"/>
      <c r="Z1782" s="61"/>
    </row>
    <row r="1783" spans="1:26" ht="13">
      <c r="A1783" s="61"/>
      <c r="B1783" s="61"/>
      <c r="C1783" s="61"/>
      <c r="D1783" s="61"/>
      <c r="E1783" s="61"/>
      <c r="F1783" s="61"/>
      <c r="G1783" s="179"/>
      <c r="H1783" s="61"/>
      <c r="I1783" s="61"/>
      <c r="J1783" s="61"/>
      <c r="K1783" s="61"/>
      <c r="L1783" s="61"/>
      <c r="M1783" s="61"/>
      <c r="N1783" s="61"/>
      <c r="O1783" s="61"/>
      <c r="P1783" s="61"/>
      <c r="Q1783" s="61"/>
      <c r="R1783" s="61"/>
      <c r="S1783" s="61"/>
      <c r="T1783" s="61"/>
      <c r="U1783" s="61"/>
      <c r="V1783" s="61"/>
      <c r="W1783" s="61"/>
      <c r="X1783" s="61"/>
      <c r="Y1783" s="61"/>
      <c r="Z1783" s="61"/>
    </row>
    <row r="1784" spans="1:26" ht="13">
      <c r="A1784" s="61"/>
      <c r="B1784" s="61"/>
      <c r="C1784" s="61"/>
      <c r="D1784" s="61"/>
      <c r="E1784" s="61"/>
      <c r="F1784" s="61"/>
      <c r="G1784" s="179"/>
      <c r="H1784" s="61"/>
      <c r="I1784" s="61"/>
      <c r="J1784" s="61"/>
      <c r="K1784" s="61"/>
      <c r="L1784" s="61"/>
      <c r="M1784" s="61"/>
      <c r="N1784" s="61"/>
      <c r="O1784" s="61"/>
      <c r="P1784" s="61"/>
      <c r="Q1784" s="61"/>
      <c r="R1784" s="61"/>
      <c r="S1784" s="61"/>
      <c r="T1784" s="61"/>
      <c r="U1784" s="61"/>
      <c r="V1784" s="61"/>
      <c r="W1784" s="61"/>
      <c r="X1784" s="61"/>
      <c r="Y1784" s="61"/>
      <c r="Z1784" s="61"/>
    </row>
    <row r="1785" spans="1:26" ht="13">
      <c r="A1785" s="61"/>
      <c r="B1785" s="61"/>
      <c r="C1785" s="61"/>
      <c r="D1785" s="61"/>
      <c r="E1785" s="61"/>
      <c r="F1785" s="61"/>
      <c r="G1785" s="179"/>
      <c r="H1785" s="61"/>
      <c r="I1785" s="61"/>
      <c r="J1785" s="61"/>
      <c r="K1785" s="61"/>
      <c r="L1785" s="61"/>
      <c r="M1785" s="61"/>
      <c r="N1785" s="61"/>
      <c r="O1785" s="61"/>
      <c r="P1785" s="61"/>
      <c r="Q1785" s="61"/>
      <c r="R1785" s="61"/>
      <c r="S1785" s="61"/>
      <c r="T1785" s="61"/>
      <c r="U1785" s="61"/>
      <c r="V1785" s="61"/>
      <c r="W1785" s="61"/>
      <c r="X1785" s="61"/>
      <c r="Y1785" s="61"/>
      <c r="Z1785" s="61"/>
    </row>
    <row r="1786" spans="1:26" ht="13">
      <c r="A1786" s="61"/>
      <c r="B1786" s="61"/>
      <c r="C1786" s="61"/>
      <c r="D1786" s="61"/>
      <c r="E1786" s="61"/>
      <c r="F1786" s="61"/>
      <c r="G1786" s="179"/>
      <c r="H1786" s="61"/>
      <c r="I1786" s="61"/>
      <c r="J1786" s="61"/>
      <c r="K1786" s="61"/>
      <c r="L1786" s="61"/>
      <c r="M1786" s="61"/>
      <c r="N1786" s="61"/>
      <c r="O1786" s="61"/>
      <c r="P1786" s="61"/>
      <c r="Q1786" s="61"/>
      <c r="R1786" s="61"/>
      <c r="S1786" s="61"/>
      <c r="T1786" s="61"/>
      <c r="U1786" s="61"/>
      <c r="V1786" s="61"/>
      <c r="W1786" s="61"/>
      <c r="X1786" s="61"/>
      <c r="Y1786" s="61"/>
      <c r="Z1786" s="61"/>
    </row>
    <row r="1787" spans="1:26" ht="13">
      <c r="A1787" s="61"/>
      <c r="B1787" s="61"/>
      <c r="C1787" s="61"/>
      <c r="D1787" s="61"/>
      <c r="E1787" s="61"/>
      <c r="F1787" s="61"/>
      <c r="G1787" s="179"/>
      <c r="H1787" s="61"/>
      <c r="I1787" s="61"/>
      <c r="J1787" s="61"/>
      <c r="K1787" s="61"/>
      <c r="L1787" s="61"/>
      <c r="M1787" s="61"/>
      <c r="N1787" s="61"/>
      <c r="O1787" s="61"/>
      <c r="P1787" s="61"/>
      <c r="Q1787" s="61"/>
      <c r="R1787" s="61"/>
      <c r="S1787" s="61"/>
      <c r="T1787" s="61"/>
      <c r="U1787" s="61"/>
      <c r="V1787" s="61"/>
      <c r="W1787" s="61"/>
      <c r="X1787" s="61"/>
      <c r="Y1787" s="61"/>
      <c r="Z1787" s="61"/>
    </row>
    <row r="1788" spans="1:26" ht="13">
      <c r="A1788" s="61"/>
      <c r="B1788" s="61"/>
      <c r="C1788" s="61"/>
      <c r="D1788" s="61"/>
      <c r="E1788" s="61"/>
      <c r="F1788" s="61"/>
      <c r="G1788" s="179"/>
      <c r="H1788" s="61"/>
      <c r="I1788" s="61"/>
      <c r="J1788" s="61"/>
      <c r="K1788" s="61"/>
      <c r="L1788" s="61"/>
      <c r="M1788" s="61"/>
      <c r="N1788" s="61"/>
      <c r="O1788" s="61"/>
      <c r="P1788" s="61"/>
      <c r="Q1788" s="61"/>
      <c r="R1788" s="61"/>
      <c r="S1788" s="61"/>
      <c r="T1788" s="61"/>
      <c r="U1788" s="61"/>
      <c r="V1788" s="61"/>
      <c r="W1788" s="61"/>
      <c r="X1788" s="61"/>
      <c r="Y1788" s="61"/>
      <c r="Z1788" s="61"/>
    </row>
    <row r="1789" spans="1:26" ht="13">
      <c r="A1789" s="61"/>
      <c r="B1789" s="61"/>
      <c r="C1789" s="61"/>
      <c r="D1789" s="61"/>
      <c r="E1789" s="61"/>
      <c r="F1789" s="61"/>
      <c r="G1789" s="179"/>
      <c r="H1789" s="61"/>
      <c r="I1789" s="61"/>
      <c r="J1789" s="61"/>
      <c r="K1789" s="61"/>
      <c r="L1789" s="61"/>
      <c r="M1789" s="61"/>
      <c r="N1789" s="61"/>
      <c r="O1789" s="61"/>
      <c r="P1789" s="61"/>
      <c r="Q1789" s="61"/>
      <c r="R1789" s="61"/>
      <c r="S1789" s="61"/>
      <c r="T1789" s="61"/>
      <c r="U1789" s="61"/>
      <c r="V1789" s="61"/>
      <c r="W1789" s="61"/>
      <c r="X1789" s="61"/>
      <c r="Y1789" s="61"/>
      <c r="Z1789" s="61"/>
    </row>
    <row r="1790" spans="1:26" ht="13">
      <c r="A1790" s="61"/>
      <c r="B1790" s="61"/>
      <c r="C1790" s="61"/>
      <c r="D1790" s="61"/>
      <c r="E1790" s="61"/>
      <c r="F1790" s="61"/>
      <c r="G1790" s="179"/>
      <c r="H1790" s="61"/>
      <c r="I1790" s="61"/>
      <c r="J1790" s="61"/>
      <c r="K1790" s="61"/>
      <c r="L1790" s="61"/>
      <c r="M1790" s="61"/>
      <c r="N1790" s="61"/>
      <c r="O1790" s="61"/>
      <c r="P1790" s="61"/>
      <c r="Q1790" s="61"/>
      <c r="R1790" s="61"/>
      <c r="S1790" s="61"/>
      <c r="T1790" s="61"/>
      <c r="U1790" s="61"/>
      <c r="V1790" s="61"/>
      <c r="W1790" s="61"/>
      <c r="X1790" s="61"/>
      <c r="Y1790" s="61"/>
      <c r="Z1790" s="61"/>
    </row>
    <row r="1791" spans="1:26" ht="13">
      <c r="A1791" s="61"/>
      <c r="B1791" s="61"/>
      <c r="C1791" s="61"/>
      <c r="D1791" s="61"/>
      <c r="E1791" s="61"/>
      <c r="F1791" s="61"/>
      <c r="G1791" s="179"/>
      <c r="H1791" s="61"/>
      <c r="I1791" s="61"/>
      <c r="J1791" s="61"/>
      <c r="K1791" s="61"/>
      <c r="L1791" s="61"/>
      <c r="M1791" s="61"/>
      <c r="N1791" s="61"/>
      <c r="O1791" s="61"/>
      <c r="P1791" s="61"/>
      <c r="Q1791" s="61"/>
      <c r="R1791" s="61"/>
      <c r="S1791" s="61"/>
      <c r="T1791" s="61"/>
      <c r="U1791" s="61"/>
      <c r="V1791" s="61"/>
      <c r="W1791" s="61"/>
      <c r="X1791" s="61"/>
      <c r="Y1791" s="61"/>
      <c r="Z1791" s="61"/>
    </row>
    <row r="1792" spans="1:26" ht="13">
      <c r="A1792" s="61"/>
      <c r="B1792" s="61"/>
      <c r="C1792" s="61"/>
      <c r="D1792" s="61"/>
      <c r="E1792" s="61"/>
      <c r="F1792" s="61"/>
      <c r="G1792" s="179"/>
      <c r="H1792" s="61"/>
      <c r="I1792" s="61"/>
      <c r="J1792" s="61"/>
      <c r="K1792" s="61"/>
      <c r="L1792" s="61"/>
      <c r="M1792" s="61"/>
      <c r="N1792" s="61"/>
      <c r="O1792" s="61"/>
      <c r="P1792" s="61"/>
      <c r="Q1792" s="61"/>
      <c r="R1792" s="61"/>
      <c r="S1792" s="61"/>
      <c r="T1792" s="61"/>
      <c r="U1792" s="61"/>
      <c r="V1792" s="61"/>
      <c r="W1792" s="61"/>
      <c r="X1792" s="61"/>
      <c r="Y1792" s="61"/>
      <c r="Z1792" s="61"/>
    </row>
    <row r="1793" spans="1:26" ht="13">
      <c r="A1793" s="61"/>
      <c r="B1793" s="61"/>
      <c r="C1793" s="61"/>
      <c r="D1793" s="61"/>
      <c r="E1793" s="61"/>
      <c r="F1793" s="61"/>
      <c r="G1793" s="179"/>
      <c r="H1793" s="61"/>
      <c r="I1793" s="61"/>
      <c r="J1793" s="61"/>
      <c r="K1793" s="61"/>
      <c r="L1793" s="61"/>
      <c r="M1793" s="61"/>
      <c r="N1793" s="61"/>
      <c r="O1793" s="61"/>
      <c r="P1793" s="61"/>
      <c r="Q1793" s="61"/>
      <c r="R1793" s="61"/>
      <c r="S1793" s="61"/>
      <c r="T1793" s="61"/>
      <c r="U1793" s="61"/>
      <c r="V1793" s="61"/>
      <c r="W1793" s="61"/>
      <c r="X1793" s="61"/>
      <c r="Y1793" s="61"/>
      <c r="Z1793" s="61"/>
    </row>
    <row r="1794" spans="1:26" ht="13">
      <c r="A1794" s="61"/>
      <c r="B1794" s="61"/>
      <c r="C1794" s="61"/>
      <c r="D1794" s="61"/>
      <c r="E1794" s="61"/>
      <c r="F1794" s="61"/>
      <c r="G1794" s="179"/>
      <c r="H1794" s="61"/>
      <c r="I1794" s="61"/>
      <c r="J1794" s="61"/>
      <c r="K1794" s="61"/>
      <c r="L1794" s="61"/>
      <c r="M1794" s="61"/>
      <c r="N1794" s="61"/>
      <c r="O1794" s="61"/>
      <c r="P1794" s="61"/>
      <c r="Q1794" s="61"/>
      <c r="R1794" s="61"/>
      <c r="S1794" s="61"/>
      <c r="T1794" s="61"/>
      <c r="U1794" s="61"/>
      <c r="V1794" s="61"/>
      <c r="W1794" s="61"/>
      <c r="X1794" s="61"/>
      <c r="Y1794" s="61"/>
      <c r="Z1794" s="61"/>
    </row>
    <row r="1795" spans="1:26" ht="13">
      <c r="A1795" s="61"/>
      <c r="B1795" s="61"/>
      <c r="C1795" s="61"/>
      <c r="D1795" s="61"/>
      <c r="E1795" s="61"/>
      <c r="F1795" s="61"/>
      <c r="G1795" s="179"/>
      <c r="H1795" s="61"/>
      <c r="I1795" s="61"/>
      <c r="J1795" s="61"/>
      <c r="K1795" s="61"/>
      <c r="L1795" s="61"/>
      <c r="M1795" s="61"/>
      <c r="N1795" s="61"/>
      <c r="O1795" s="61"/>
      <c r="P1795" s="61"/>
      <c r="Q1795" s="61"/>
      <c r="R1795" s="61"/>
      <c r="S1795" s="61"/>
      <c r="T1795" s="61"/>
      <c r="U1795" s="61"/>
      <c r="V1795" s="61"/>
      <c r="W1795" s="61"/>
      <c r="X1795" s="61"/>
      <c r="Y1795" s="61"/>
      <c r="Z1795" s="61"/>
    </row>
    <row r="1796" spans="1:26" ht="13">
      <c r="A1796" s="61"/>
      <c r="B1796" s="61"/>
      <c r="C1796" s="61"/>
      <c r="D1796" s="61"/>
      <c r="E1796" s="61"/>
      <c r="F1796" s="61"/>
      <c r="G1796" s="179"/>
      <c r="H1796" s="61"/>
      <c r="I1796" s="61"/>
      <c r="J1796" s="61"/>
      <c r="K1796" s="61"/>
      <c r="L1796" s="61"/>
      <c r="M1796" s="61"/>
      <c r="N1796" s="61"/>
      <c r="O1796" s="61"/>
      <c r="P1796" s="61"/>
      <c r="Q1796" s="61"/>
      <c r="R1796" s="61"/>
      <c r="S1796" s="61"/>
      <c r="T1796" s="61"/>
      <c r="U1796" s="61"/>
      <c r="V1796" s="61"/>
      <c r="W1796" s="61"/>
      <c r="X1796" s="61"/>
      <c r="Y1796" s="61"/>
      <c r="Z1796" s="61"/>
    </row>
    <row r="1797" spans="1:26" ht="13">
      <c r="A1797" s="61"/>
      <c r="B1797" s="61"/>
      <c r="C1797" s="61"/>
      <c r="D1797" s="61"/>
      <c r="E1797" s="61"/>
      <c r="F1797" s="61"/>
      <c r="G1797" s="179"/>
      <c r="H1797" s="61"/>
      <c r="I1797" s="61"/>
      <c r="J1797" s="61"/>
      <c r="K1797" s="61"/>
      <c r="L1797" s="61"/>
      <c r="M1797" s="61"/>
      <c r="N1797" s="61"/>
      <c r="O1797" s="61"/>
      <c r="P1797" s="61"/>
      <c r="Q1797" s="61"/>
      <c r="R1797" s="61"/>
      <c r="S1797" s="61"/>
      <c r="T1797" s="61"/>
      <c r="U1797" s="61"/>
      <c r="V1797" s="61"/>
      <c r="W1797" s="61"/>
      <c r="X1797" s="61"/>
      <c r="Y1797" s="61"/>
      <c r="Z1797" s="61"/>
    </row>
    <row r="1798" spans="1:26" ht="13">
      <c r="A1798" s="61"/>
      <c r="B1798" s="61"/>
      <c r="C1798" s="61"/>
      <c r="D1798" s="61"/>
      <c r="E1798" s="61"/>
      <c r="F1798" s="61"/>
      <c r="G1798" s="179"/>
      <c r="H1798" s="61"/>
      <c r="I1798" s="61"/>
      <c r="J1798" s="61"/>
      <c r="K1798" s="61"/>
      <c r="L1798" s="61"/>
      <c r="M1798" s="61"/>
      <c r="N1798" s="61"/>
      <c r="O1798" s="61"/>
      <c r="P1798" s="61"/>
      <c r="Q1798" s="61"/>
      <c r="R1798" s="61"/>
      <c r="S1798" s="61"/>
      <c r="T1798" s="61"/>
      <c r="U1798" s="61"/>
      <c r="V1798" s="61"/>
      <c r="W1798" s="61"/>
      <c r="X1798" s="61"/>
      <c r="Y1798" s="61"/>
      <c r="Z1798" s="61"/>
    </row>
    <row r="1799" spans="1:26" ht="13">
      <c r="A1799" s="61"/>
      <c r="B1799" s="61"/>
      <c r="C1799" s="61"/>
      <c r="D1799" s="61"/>
      <c r="E1799" s="61"/>
      <c r="F1799" s="61"/>
      <c r="G1799" s="179"/>
      <c r="H1799" s="61"/>
      <c r="I1799" s="61"/>
      <c r="J1799" s="61"/>
      <c r="K1799" s="61"/>
      <c r="L1799" s="61"/>
      <c r="M1799" s="61"/>
      <c r="N1799" s="61"/>
      <c r="O1799" s="61"/>
      <c r="P1799" s="61"/>
      <c r="Q1799" s="61"/>
      <c r="R1799" s="61"/>
      <c r="S1799" s="61"/>
      <c r="T1799" s="61"/>
      <c r="U1799" s="61"/>
      <c r="V1799" s="61"/>
      <c r="W1799" s="61"/>
      <c r="X1799" s="61"/>
      <c r="Y1799" s="61"/>
      <c r="Z1799" s="61"/>
    </row>
    <row r="1800" spans="1:26" ht="13">
      <c r="A1800" s="61"/>
      <c r="B1800" s="61"/>
      <c r="C1800" s="61"/>
      <c r="D1800" s="61"/>
      <c r="E1800" s="61"/>
      <c r="F1800" s="61"/>
      <c r="G1800" s="179"/>
      <c r="H1800" s="61"/>
      <c r="I1800" s="61"/>
      <c r="J1800" s="61"/>
      <c r="K1800" s="61"/>
      <c r="L1800" s="61"/>
      <c r="M1800" s="61"/>
      <c r="N1800" s="61"/>
      <c r="O1800" s="61"/>
      <c r="P1800" s="61"/>
      <c r="Q1800" s="61"/>
      <c r="R1800" s="61"/>
      <c r="S1800" s="61"/>
      <c r="T1800" s="61"/>
      <c r="U1800" s="61"/>
      <c r="V1800" s="61"/>
      <c r="W1800" s="61"/>
      <c r="X1800" s="61"/>
      <c r="Y1800" s="61"/>
      <c r="Z1800" s="61"/>
    </row>
    <row r="1801" spans="1:26" ht="13">
      <c r="A1801" s="61"/>
      <c r="B1801" s="61"/>
      <c r="C1801" s="61"/>
      <c r="D1801" s="61"/>
      <c r="E1801" s="61"/>
      <c r="F1801" s="61"/>
      <c r="G1801" s="179"/>
      <c r="H1801" s="61"/>
      <c r="I1801" s="61"/>
      <c r="J1801" s="61"/>
      <c r="K1801" s="61"/>
      <c r="L1801" s="61"/>
      <c r="M1801" s="61"/>
      <c r="N1801" s="61"/>
      <c r="O1801" s="61"/>
      <c r="P1801" s="61"/>
      <c r="Q1801" s="61"/>
      <c r="R1801" s="61"/>
      <c r="S1801" s="61"/>
      <c r="T1801" s="61"/>
      <c r="U1801" s="61"/>
      <c r="V1801" s="61"/>
      <c r="W1801" s="61"/>
      <c r="X1801" s="61"/>
      <c r="Y1801" s="61"/>
      <c r="Z1801" s="61"/>
    </row>
    <row r="1802" spans="1:26" ht="13">
      <c r="A1802" s="61"/>
      <c r="B1802" s="61"/>
      <c r="C1802" s="61"/>
      <c r="D1802" s="61"/>
      <c r="E1802" s="61"/>
      <c r="F1802" s="61"/>
      <c r="G1802" s="179"/>
      <c r="H1802" s="61"/>
      <c r="I1802" s="61"/>
      <c r="J1802" s="61"/>
      <c r="K1802" s="61"/>
      <c r="L1802" s="61"/>
      <c r="M1802" s="61"/>
      <c r="N1802" s="61"/>
      <c r="O1802" s="61"/>
      <c r="P1802" s="61"/>
      <c r="Q1802" s="61"/>
      <c r="R1802" s="61"/>
      <c r="S1802" s="61"/>
      <c r="T1802" s="61"/>
      <c r="U1802" s="61"/>
      <c r="V1802" s="61"/>
      <c r="W1802" s="61"/>
      <c r="X1802" s="61"/>
      <c r="Y1802" s="61"/>
      <c r="Z1802" s="61"/>
    </row>
    <row r="1803" spans="1:26" ht="13">
      <c r="A1803" s="61"/>
      <c r="B1803" s="61"/>
      <c r="C1803" s="61"/>
      <c r="D1803" s="61"/>
      <c r="E1803" s="61"/>
      <c r="F1803" s="61"/>
      <c r="G1803" s="179"/>
      <c r="H1803" s="61"/>
      <c r="I1803" s="61"/>
      <c r="J1803" s="61"/>
      <c r="K1803" s="61"/>
      <c r="L1803" s="61"/>
      <c r="M1803" s="61"/>
      <c r="N1803" s="61"/>
      <c r="O1803" s="61"/>
      <c r="P1803" s="61"/>
      <c r="Q1803" s="61"/>
      <c r="R1803" s="61"/>
      <c r="S1803" s="61"/>
      <c r="T1803" s="61"/>
      <c r="U1803" s="61"/>
      <c r="V1803" s="61"/>
      <c r="W1803" s="61"/>
      <c r="X1803" s="61"/>
      <c r="Y1803" s="61"/>
      <c r="Z1803" s="61"/>
    </row>
    <row r="1804" spans="1:26" ht="13">
      <c r="A1804" s="61"/>
      <c r="B1804" s="61"/>
      <c r="C1804" s="61"/>
      <c r="D1804" s="61"/>
      <c r="E1804" s="61"/>
      <c r="F1804" s="61"/>
      <c r="G1804" s="179"/>
      <c r="H1804" s="61"/>
      <c r="I1804" s="61"/>
      <c r="J1804" s="61"/>
      <c r="K1804" s="61"/>
      <c r="L1804" s="61"/>
      <c r="M1804" s="61"/>
      <c r="N1804" s="61"/>
      <c r="O1804" s="61"/>
      <c r="P1804" s="61"/>
      <c r="Q1804" s="61"/>
      <c r="R1804" s="61"/>
      <c r="S1804" s="61"/>
      <c r="T1804" s="61"/>
      <c r="U1804" s="61"/>
      <c r="V1804" s="61"/>
      <c r="W1804" s="61"/>
      <c r="X1804" s="61"/>
      <c r="Y1804" s="61"/>
      <c r="Z1804" s="61"/>
    </row>
    <row r="1805" spans="1:26" ht="13">
      <c r="A1805" s="61"/>
      <c r="B1805" s="61"/>
      <c r="C1805" s="61"/>
      <c r="D1805" s="61"/>
      <c r="E1805" s="61"/>
      <c r="F1805" s="61"/>
      <c r="G1805" s="179"/>
      <c r="H1805" s="61"/>
      <c r="I1805" s="61"/>
      <c r="J1805" s="61"/>
      <c r="K1805" s="61"/>
      <c r="L1805" s="61"/>
      <c r="M1805" s="61"/>
      <c r="N1805" s="61"/>
      <c r="O1805" s="61"/>
      <c r="P1805" s="61"/>
      <c r="Q1805" s="61"/>
      <c r="R1805" s="61"/>
      <c r="S1805" s="61"/>
      <c r="T1805" s="61"/>
      <c r="U1805" s="61"/>
      <c r="V1805" s="61"/>
      <c r="W1805" s="61"/>
      <c r="X1805" s="61"/>
      <c r="Y1805" s="61"/>
      <c r="Z1805" s="61"/>
    </row>
    <row r="1806" spans="1:26" ht="13">
      <c r="A1806" s="61"/>
      <c r="B1806" s="61"/>
      <c r="C1806" s="61"/>
      <c r="D1806" s="61"/>
      <c r="E1806" s="61"/>
      <c r="F1806" s="61"/>
      <c r="G1806" s="179"/>
      <c r="H1806" s="61"/>
      <c r="I1806" s="61"/>
      <c r="J1806" s="61"/>
      <c r="K1806" s="61"/>
      <c r="L1806" s="61"/>
      <c r="M1806" s="61"/>
      <c r="N1806" s="61"/>
      <c r="O1806" s="61"/>
      <c r="P1806" s="61"/>
      <c r="Q1806" s="61"/>
      <c r="R1806" s="61"/>
      <c r="S1806" s="61"/>
      <c r="T1806" s="61"/>
      <c r="U1806" s="61"/>
      <c r="V1806" s="61"/>
      <c r="W1806" s="61"/>
      <c r="X1806" s="61"/>
      <c r="Y1806" s="61"/>
      <c r="Z1806" s="61"/>
    </row>
    <row r="1807" spans="1:26" ht="13">
      <c r="A1807" s="61"/>
      <c r="B1807" s="61"/>
      <c r="C1807" s="61"/>
      <c r="D1807" s="61"/>
      <c r="E1807" s="61"/>
      <c r="F1807" s="61"/>
      <c r="G1807" s="179"/>
      <c r="H1807" s="61"/>
      <c r="I1807" s="61"/>
      <c r="J1807" s="61"/>
      <c r="K1807" s="61"/>
      <c r="L1807" s="61"/>
      <c r="M1807" s="61"/>
      <c r="N1807" s="61"/>
      <c r="O1807" s="61"/>
      <c r="P1807" s="61"/>
      <c r="Q1807" s="61"/>
      <c r="R1807" s="61"/>
      <c r="S1807" s="61"/>
      <c r="T1807" s="61"/>
      <c r="U1807" s="61"/>
      <c r="V1807" s="61"/>
      <c r="W1807" s="61"/>
      <c r="X1807" s="61"/>
      <c r="Y1807" s="61"/>
      <c r="Z1807" s="61"/>
    </row>
    <row r="1808" spans="1:26" ht="13">
      <c r="A1808" s="61"/>
      <c r="B1808" s="61"/>
      <c r="C1808" s="61"/>
      <c r="D1808" s="61"/>
      <c r="E1808" s="61"/>
      <c r="F1808" s="61"/>
      <c r="G1808" s="179"/>
      <c r="H1808" s="61"/>
      <c r="I1808" s="61"/>
      <c r="J1808" s="61"/>
      <c r="K1808" s="61"/>
      <c r="L1808" s="61"/>
      <c r="M1808" s="61"/>
      <c r="N1808" s="61"/>
      <c r="O1808" s="61"/>
      <c r="P1808" s="61"/>
      <c r="Q1808" s="61"/>
      <c r="R1808" s="61"/>
      <c r="S1808" s="61"/>
      <c r="T1808" s="61"/>
      <c r="U1808" s="61"/>
      <c r="V1808" s="61"/>
      <c r="W1808" s="61"/>
      <c r="X1808" s="61"/>
      <c r="Y1808" s="61"/>
      <c r="Z1808" s="61"/>
    </row>
    <row r="1809" spans="1:26" ht="13">
      <c r="A1809" s="61"/>
      <c r="B1809" s="61"/>
      <c r="C1809" s="61"/>
      <c r="D1809" s="61"/>
      <c r="E1809" s="61"/>
      <c r="F1809" s="61"/>
      <c r="G1809" s="179"/>
      <c r="H1809" s="61"/>
      <c r="I1809" s="61"/>
      <c r="J1809" s="61"/>
      <c r="K1809" s="61"/>
      <c r="L1809" s="61"/>
      <c r="M1809" s="61"/>
      <c r="N1809" s="61"/>
      <c r="O1809" s="61"/>
      <c r="P1809" s="61"/>
      <c r="Q1809" s="61"/>
      <c r="R1809" s="61"/>
      <c r="S1809" s="61"/>
      <c r="T1809" s="61"/>
      <c r="U1809" s="61"/>
      <c r="V1809" s="61"/>
      <c r="W1809" s="61"/>
      <c r="X1809" s="61"/>
      <c r="Y1809" s="61"/>
      <c r="Z1809" s="61"/>
    </row>
    <row r="1810" spans="1:26" ht="13">
      <c r="A1810" s="61"/>
      <c r="B1810" s="61"/>
      <c r="C1810" s="61"/>
      <c r="D1810" s="61"/>
      <c r="E1810" s="61"/>
      <c r="F1810" s="61"/>
      <c r="G1810" s="179"/>
      <c r="H1810" s="61"/>
      <c r="I1810" s="61"/>
      <c r="J1810" s="61"/>
      <c r="K1810" s="61"/>
      <c r="L1810" s="61"/>
      <c r="M1810" s="61"/>
      <c r="N1810" s="61"/>
      <c r="O1810" s="61"/>
      <c r="P1810" s="61"/>
      <c r="Q1810" s="61"/>
      <c r="R1810" s="61"/>
      <c r="S1810" s="61"/>
      <c r="T1810" s="61"/>
      <c r="U1810" s="61"/>
      <c r="V1810" s="61"/>
      <c r="W1810" s="61"/>
      <c r="X1810" s="61"/>
      <c r="Y1810" s="61"/>
      <c r="Z1810" s="61"/>
    </row>
    <row r="1811" spans="1:26" ht="13">
      <c r="A1811" s="61"/>
      <c r="B1811" s="61"/>
      <c r="C1811" s="61"/>
      <c r="D1811" s="61"/>
      <c r="E1811" s="61"/>
      <c r="F1811" s="61"/>
      <c r="G1811" s="179"/>
      <c r="H1811" s="61"/>
      <c r="I1811" s="61"/>
      <c r="J1811" s="61"/>
      <c r="K1811" s="61"/>
      <c r="L1811" s="61"/>
      <c r="M1811" s="61"/>
      <c r="N1811" s="61"/>
      <c r="O1811" s="61"/>
      <c r="P1811" s="61"/>
      <c r="Q1811" s="61"/>
      <c r="R1811" s="61"/>
      <c r="S1811" s="61"/>
      <c r="T1811" s="61"/>
      <c r="U1811" s="61"/>
      <c r="V1811" s="61"/>
      <c r="W1811" s="61"/>
      <c r="X1811" s="61"/>
      <c r="Y1811" s="61"/>
      <c r="Z1811" s="61"/>
    </row>
    <row r="1812" spans="1:26" ht="13">
      <c r="A1812" s="61"/>
      <c r="B1812" s="61"/>
      <c r="C1812" s="61"/>
      <c r="D1812" s="61"/>
      <c r="E1812" s="61"/>
      <c r="F1812" s="61"/>
      <c r="G1812" s="179"/>
      <c r="H1812" s="61"/>
      <c r="I1812" s="61"/>
      <c r="J1812" s="61"/>
      <c r="K1812" s="61"/>
      <c r="L1812" s="61"/>
      <c r="M1812" s="61"/>
      <c r="N1812" s="61"/>
      <c r="O1812" s="61"/>
      <c r="P1812" s="61"/>
      <c r="Q1812" s="61"/>
      <c r="R1812" s="61"/>
      <c r="S1812" s="61"/>
      <c r="T1812" s="61"/>
      <c r="U1812" s="61"/>
      <c r="V1812" s="61"/>
      <c r="W1812" s="61"/>
      <c r="X1812" s="61"/>
      <c r="Y1812" s="61"/>
      <c r="Z1812" s="61"/>
    </row>
    <row r="1813" spans="1:26" ht="13">
      <c r="A1813" s="61"/>
      <c r="B1813" s="61"/>
      <c r="C1813" s="61"/>
      <c r="D1813" s="61"/>
      <c r="E1813" s="61"/>
      <c r="F1813" s="61"/>
      <c r="G1813" s="179"/>
      <c r="H1813" s="61"/>
      <c r="I1813" s="61"/>
      <c r="J1813" s="61"/>
      <c r="K1813" s="61"/>
      <c r="L1813" s="61"/>
      <c r="M1813" s="61"/>
      <c r="N1813" s="61"/>
      <c r="O1813" s="61"/>
      <c r="P1813" s="61"/>
      <c r="Q1813" s="61"/>
      <c r="R1813" s="61"/>
      <c r="S1813" s="61"/>
      <c r="T1813" s="61"/>
      <c r="U1813" s="61"/>
      <c r="V1813" s="61"/>
      <c r="W1813" s="61"/>
      <c r="X1813" s="61"/>
      <c r="Y1813" s="61"/>
      <c r="Z1813" s="61"/>
    </row>
    <row r="1814" spans="1:26" ht="13">
      <c r="A1814" s="61"/>
      <c r="B1814" s="61"/>
      <c r="C1814" s="61"/>
      <c r="D1814" s="61"/>
      <c r="E1814" s="61"/>
      <c r="F1814" s="61"/>
      <c r="G1814" s="179"/>
      <c r="H1814" s="61"/>
      <c r="I1814" s="61"/>
      <c r="J1814" s="61"/>
      <c r="K1814" s="61"/>
      <c r="L1814" s="61"/>
      <c r="M1814" s="61"/>
      <c r="N1814" s="61"/>
      <c r="O1814" s="61"/>
      <c r="P1814" s="61"/>
      <c r="Q1814" s="61"/>
      <c r="R1814" s="61"/>
      <c r="S1814" s="61"/>
      <c r="T1814" s="61"/>
      <c r="U1814" s="61"/>
      <c r="V1814" s="61"/>
      <c r="W1814" s="61"/>
      <c r="X1814" s="61"/>
      <c r="Y1814" s="61"/>
      <c r="Z1814" s="61"/>
    </row>
    <row r="1815" spans="1:26" ht="13">
      <c r="A1815" s="61"/>
      <c r="B1815" s="61"/>
      <c r="C1815" s="61"/>
      <c r="D1815" s="61"/>
      <c r="E1815" s="61"/>
      <c r="F1815" s="61"/>
      <c r="G1815" s="179"/>
      <c r="H1815" s="61"/>
      <c r="I1815" s="61"/>
      <c r="J1815" s="61"/>
      <c r="K1815" s="61"/>
      <c r="L1815" s="61"/>
      <c r="M1815" s="61"/>
      <c r="N1815" s="61"/>
      <c r="O1815" s="61"/>
      <c r="P1815" s="61"/>
      <c r="Q1815" s="61"/>
      <c r="R1815" s="61"/>
      <c r="S1815" s="61"/>
      <c r="T1815" s="61"/>
      <c r="U1815" s="61"/>
      <c r="V1815" s="61"/>
      <c r="W1815" s="61"/>
      <c r="X1815" s="61"/>
      <c r="Y1815" s="61"/>
      <c r="Z1815" s="61"/>
    </row>
    <row r="1816" spans="1:26" ht="13">
      <c r="A1816" s="61"/>
      <c r="B1816" s="61"/>
      <c r="C1816" s="61"/>
      <c r="D1816" s="61"/>
      <c r="E1816" s="61"/>
      <c r="F1816" s="61"/>
      <c r="G1816" s="179"/>
      <c r="H1816" s="61"/>
      <c r="I1816" s="61"/>
      <c r="J1816" s="61"/>
      <c r="K1816" s="61"/>
      <c r="L1816" s="61"/>
      <c r="M1816" s="61"/>
      <c r="N1816" s="61"/>
      <c r="O1816" s="61"/>
      <c r="P1816" s="61"/>
      <c r="Q1816" s="61"/>
      <c r="R1816" s="61"/>
      <c r="S1816" s="61"/>
      <c r="T1816" s="61"/>
      <c r="U1816" s="61"/>
      <c r="V1816" s="61"/>
      <c r="W1816" s="61"/>
      <c r="X1816" s="61"/>
      <c r="Y1816" s="61"/>
      <c r="Z1816" s="61"/>
    </row>
    <row r="1817" spans="1:26" ht="13">
      <c r="A1817" s="61"/>
      <c r="B1817" s="61"/>
      <c r="C1817" s="61"/>
      <c r="D1817" s="61"/>
      <c r="E1817" s="61"/>
      <c r="F1817" s="61"/>
      <c r="G1817" s="179"/>
      <c r="H1817" s="61"/>
      <c r="I1817" s="61"/>
      <c r="J1817" s="61"/>
      <c r="K1817" s="61"/>
      <c r="L1817" s="61"/>
      <c r="M1817" s="61"/>
      <c r="N1817" s="61"/>
      <c r="O1817" s="61"/>
      <c r="P1817" s="61"/>
      <c r="Q1817" s="61"/>
      <c r="R1817" s="61"/>
      <c r="S1817" s="61"/>
      <c r="T1817" s="61"/>
      <c r="U1817" s="61"/>
      <c r="V1817" s="61"/>
      <c r="W1817" s="61"/>
      <c r="X1817" s="61"/>
      <c r="Y1817" s="61"/>
      <c r="Z1817" s="61"/>
    </row>
    <row r="1818" spans="1:26" ht="13">
      <c r="A1818" s="61"/>
      <c r="B1818" s="61"/>
      <c r="C1818" s="61"/>
      <c r="D1818" s="61"/>
      <c r="E1818" s="61"/>
      <c r="F1818" s="61"/>
      <c r="G1818" s="179"/>
      <c r="H1818" s="61"/>
      <c r="I1818" s="61"/>
      <c r="J1818" s="61"/>
      <c r="K1818" s="61"/>
      <c r="L1818" s="61"/>
      <c r="M1818" s="61"/>
      <c r="N1818" s="61"/>
      <c r="O1818" s="61"/>
      <c r="P1818" s="61"/>
      <c r="Q1818" s="61"/>
      <c r="R1818" s="61"/>
      <c r="S1818" s="61"/>
      <c r="T1818" s="61"/>
      <c r="U1818" s="61"/>
      <c r="V1818" s="61"/>
      <c r="W1818" s="61"/>
      <c r="X1818" s="61"/>
      <c r="Y1818" s="61"/>
      <c r="Z1818" s="61"/>
    </row>
    <row r="1819" spans="1:26" ht="13">
      <c r="A1819" s="61"/>
      <c r="B1819" s="61"/>
      <c r="C1819" s="61"/>
      <c r="D1819" s="61"/>
      <c r="E1819" s="61"/>
      <c r="F1819" s="61"/>
      <c r="G1819" s="179"/>
      <c r="H1819" s="61"/>
      <c r="I1819" s="61"/>
      <c r="J1819" s="61"/>
      <c r="K1819" s="61"/>
      <c r="L1819" s="61"/>
      <c r="M1819" s="61"/>
      <c r="N1819" s="61"/>
      <c r="O1819" s="61"/>
      <c r="P1819" s="61"/>
      <c r="Q1819" s="61"/>
      <c r="R1819" s="61"/>
      <c r="S1819" s="61"/>
      <c r="T1819" s="61"/>
      <c r="U1819" s="61"/>
      <c r="V1819" s="61"/>
      <c r="W1819" s="61"/>
      <c r="X1819" s="61"/>
      <c r="Y1819" s="61"/>
      <c r="Z1819" s="61"/>
    </row>
    <row r="1820" spans="1:26" ht="13">
      <c r="A1820" s="61"/>
      <c r="B1820" s="61"/>
      <c r="C1820" s="61"/>
      <c r="D1820" s="61"/>
      <c r="E1820" s="61"/>
      <c r="F1820" s="61"/>
      <c r="G1820" s="179"/>
      <c r="H1820" s="61"/>
      <c r="I1820" s="61"/>
      <c r="J1820" s="61"/>
      <c r="K1820" s="61"/>
      <c r="L1820" s="61"/>
      <c r="M1820" s="61"/>
      <c r="N1820" s="61"/>
      <c r="O1820" s="61"/>
      <c r="P1820" s="61"/>
      <c r="Q1820" s="61"/>
      <c r="R1820" s="61"/>
      <c r="S1820" s="61"/>
      <c r="T1820" s="61"/>
      <c r="U1820" s="61"/>
      <c r="V1820" s="61"/>
      <c r="W1820" s="61"/>
      <c r="X1820" s="61"/>
      <c r="Y1820" s="61"/>
      <c r="Z1820" s="61"/>
    </row>
    <row r="1821" spans="1:26" ht="13">
      <c r="A1821" s="61"/>
      <c r="B1821" s="61"/>
      <c r="C1821" s="61"/>
      <c r="D1821" s="61"/>
      <c r="E1821" s="61"/>
      <c r="F1821" s="61"/>
      <c r="G1821" s="179"/>
      <c r="H1821" s="61"/>
      <c r="I1821" s="61"/>
      <c r="J1821" s="61"/>
      <c r="K1821" s="61"/>
      <c r="L1821" s="61"/>
      <c r="M1821" s="61"/>
      <c r="N1821" s="61"/>
      <c r="O1821" s="61"/>
      <c r="P1821" s="61"/>
      <c r="Q1821" s="61"/>
      <c r="R1821" s="61"/>
      <c r="S1821" s="61"/>
      <c r="T1821" s="61"/>
      <c r="U1821" s="61"/>
      <c r="V1821" s="61"/>
      <c r="W1821" s="61"/>
      <c r="X1821" s="61"/>
      <c r="Y1821" s="61"/>
      <c r="Z1821" s="61"/>
    </row>
    <row r="1822" spans="1:26" ht="13">
      <c r="A1822" s="61"/>
      <c r="B1822" s="61"/>
      <c r="C1822" s="61"/>
      <c r="D1822" s="61"/>
      <c r="E1822" s="61"/>
      <c r="F1822" s="61"/>
      <c r="G1822" s="179"/>
      <c r="H1822" s="61"/>
      <c r="I1822" s="61"/>
      <c r="J1822" s="61"/>
      <c r="K1822" s="61"/>
      <c r="L1822" s="61"/>
      <c r="M1822" s="61"/>
      <c r="N1822" s="61"/>
      <c r="O1822" s="61"/>
      <c r="P1822" s="61"/>
      <c r="Q1822" s="61"/>
      <c r="R1822" s="61"/>
      <c r="S1822" s="61"/>
      <c r="T1822" s="61"/>
      <c r="U1822" s="61"/>
      <c r="V1822" s="61"/>
      <c r="W1822" s="61"/>
      <c r="X1822" s="61"/>
      <c r="Y1822" s="61"/>
      <c r="Z1822" s="61"/>
    </row>
    <row r="1823" spans="1:26" ht="13">
      <c r="A1823" s="61"/>
      <c r="B1823" s="61"/>
      <c r="C1823" s="61"/>
      <c r="D1823" s="61"/>
      <c r="E1823" s="61"/>
      <c r="F1823" s="61"/>
      <c r="G1823" s="179"/>
      <c r="H1823" s="61"/>
      <c r="I1823" s="61"/>
      <c r="J1823" s="61"/>
      <c r="K1823" s="61"/>
      <c r="L1823" s="61"/>
      <c r="M1823" s="61"/>
      <c r="N1823" s="61"/>
      <c r="O1823" s="61"/>
      <c r="P1823" s="61"/>
      <c r="Q1823" s="61"/>
      <c r="R1823" s="61"/>
      <c r="S1823" s="61"/>
      <c r="T1823" s="61"/>
      <c r="U1823" s="61"/>
      <c r="V1823" s="61"/>
      <c r="W1823" s="61"/>
      <c r="X1823" s="61"/>
      <c r="Y1823" s="61"/>
      <c r="Z1823" s="61"/>
    </row>
    <row r="1824" spans="1:26" ht="13">
      <c r="A1824" s="61"/>
      <c r="B1824" s="61"/>
      <c r="C1824" s="61"/>
      <c r="D1824" s="61"/>
      <c r="E1824" s="61"/>
      <c r="F1824" s="61"/>
      <c r="G1824" s="179"/>
      <c r="H1824" s="61"/>
      <c r="I1824" s="61"/>
      <c r="J1824" s="61"/>
      <c r="K1824" s="61"/>
      <c r="L1824" s="61"/>
      <c r="M1824" s="61"/>
      <c r="N1824" s="61"/>
      <c r="O1824" s="61"/>
      <c r="P1824" s="61"/>
      <c r="Q1824" s="61"/>
      <c r="R1824" s="61"/>
      <c r="S1824" s="61"/>
      <c r="T1824" s="61"/>
      <c r="U1824" s="61"/>
      <c r="V1824" s="61"/>
      <c r="W1824" s="61"/>
      <c r="X1824" s="61"/>
      <c r="Y1824" s="61"/>
      <c r="Z1824" s="61"/>
    </row>
    <row r="1825" spans="1:26" ht="13">
      <c r="A1825" s="61"/>
      <c r="B1825" s="61"/>
      <c r="C1825" s="61"/>
      <c r="D1825" s="61"/>
      <c r="E1825" s="61"/>
      <c r="F1825" s="61"/>
      <c r="G1825" s="179"/>
      <c r="H1825" s="61"/>
      <c r="I1825" s="61"/>
      <c r="J1825" s="61"/>
      <c r="K1825" s="61"/>
      <c r="L1825" s="61"/>
      <c r="M1825" s="61"/>
      <c r="N1825" s="61"/>
      <c r="O1825" s="61"/>
      <c r="P1825" s="61"/>
      <c r="Q1825" s="61"/>
      <c r="R1825" s="61"/>
      <c r="S1825" s="61"/>
      <c r="T1825" s="61"/>
      <c r="U1825" s="61"/>
      <c r="V1825" s="61"/>
      <c r="W1825" s="61"/>
      <c r="X1825" s="61"/>
      <c r="Y1825" s="61"/>
      <c r="Z1825" s="61"/>
    </row>
    <row r="1826" spans="1:26" ht="13">
      <c r="A1826" s="61"/>
      <c r="B1826" s="61"/>
      <c r="C1826" s="61"/>
      <c r="D1826" s="61"/>
      <c r="E1826" s="61"/>
      <c r="F1826" s="61"/>
      <c r="G1826" s="179"/>
      <c r="H1826" s="61"/>
      <c r="I1826" s="61"/>
      <c r="J1826" s="61"/>
      <c r="K1826" s="61"/>
      <c r="L1826" s="61"/>
      <c r="M1826" s="61"/>
      <c r="N1826" s="61"/>
      <c r="O1826" s="61"/>
      <c r="P1826" s="61"/>
      <c r="Q1826" s="61"/>
      <c r="R1826" s="61"/>
      <c r="S1826" s="61"/>
      <c r="T1826" s="61"/>
      <c r="U1826" s="61"/>
      <c r="V1826" s="61"/>
      <c r="W1826" s="61"/>
      <c r="X1826" s="61"/>
      <c r="Y1826" s="61"/>
      <c r="Z1826" s="61"/>
    </row>
    <row r="1827" spans="1:26" ht="13">
      <c r="A1827" s="61"/>
      <c r="B1827" s="61"/>
      <c r="C1827" s="61"/>
      <c r="D1827" s="61"/>
      <c r="E1827" s="61"/>
      <c r="F1827" s="61"/>
      <c r="G1827" s="179"/>
      <c r="H1827" s="61"/>
      <c r="I1827" s="61"/>
      <c r="J1827" s="61"/>
      <c r="K1827" s="61"/>
      <c r="L1827" s="61"/>
      <c r="M1827" s="61"/>
      <c r="N1827" s="61"/>
      <c r="O1827" s="61"/>
      <c r="P1827" s="61"/>
      <c r="Q1827" s="61"/>
      <c r="R1827" s="61"/>
      <c r="S1827" s="61"/>
      <c r="T1827" s="61"/>
      <c r="U1827" s="61"/>
      <c r="V1827" s="61"/>
      <c r="W1827" s="61"/>
      <c r="X1827" s="61"/>
      <c r="Y1827" s="61"/>
      <c r="Z1827" s="61"/>
    </row>
    <row r="1828" spans="1:26" ht="13">
      <c r="A1828" s="61"/>
      <c r="B1828" s="61"/>
      <c r="C1828" s="61"/>
      <c r="D1828" s="61"/>
      <c r="E1828" s="61"/>
      <c r="F1828" s="61"/>
      <c r="G1828" s="179"/>
      <c r="H1828" s="61"/>
      <c r="I1828" s="61"/>
      <c r="J1828" s="61"/>
      <c r="K1828" s="61"/>
      <c r="L1828" s="61"/>
      <c r="M1828" s="61"/>
      <c r="N1828" s="61"/>
      <c r="O1828" s="61"/>
      <c r="P1828" s="61"/>
      <c r="Q1828" s="61"/>
      <c r="R1828" s="61"/>
      <c r="S1828" s="61"/>
      <c r="T1828" s="61"/>
      <c r="U1828" s="61"/>
      <c r="V1828" s="61"/>
      <c r="W1828" s="61"/>
      <c r="X1828" s="61"/>
      <c r="Y1828" s="61"/>
      <c r="Z1828" s="61"/>
    </row>
    <row r="1829" spans="1:26" ht="13">
      <c r="A1829" s="61"/>
      <c r="B1829" s="61"/>
      <c r="C1829" s="61"/>
      <c r="D1829" s="61"/>
      <c r="E1829" s="61"/>
      <c r="F1829" s="61"/>
      <c r="G1829" s="179"/>
      <c r="H1829" s="61"/>
      <c r="I1829" s="61"/>
      <c r="J1829" s="61"/>
      <c r="K1829" s="61"/>
      <c r="L1829" s="61"/>
      <c r="M1829" s="61"/>
      <c r="N1829" s="61"/>
      <c r="O1829" s="61"/>
      <c r="P1829" s="61"/>
      <c r="Q1829" s="61"/>
      <c r="R1829" s="61"/>
      <c r="S1829" s="61"/>
      <c r="T1829" s="61"/>
      <c r="U1829" s="61"/>
      <c r="V1829" s="61"/>
      <c r="W1829" s="61"/>
      <c r="X1829" s="61"/>
      <c r="Y1829" s="61"/>
      <c r="Z1829" s="61"/>
    </row>
    <row r="1830" spans="1:26" ht="13">
      <c r="A1830" s="61"/>
      <c r="B1830" s="61"/>
      <c r="C1830" s="61"/>
      <c r="D1830" s="61"/>
      <c r="E1830" s="61"/>
      <c r="F1830" s="61"/>
      <c r="G1830" s="179"/>
      <c r="H1830" s="61"/>
      <c r="I1830" s="61"/>
      <c r="J1830" s="61"/>
      <c r="K1830" s="61"/>
      <c r="L1830" s="61"/>
      <c r="M1830" s="61"/>
      <c r="N1830" s="61"/>
      <c r="O1830" s="61"/>
      <c r="P1830" s="61"/>
      <c r="Q1830" s="61"/>
      <c r="R1830" s="61"/>
      <c r="S1830" s="61"/>
      <c r="T1830" s="61"/>
      <c r="U1830" s="61"/>
      <c r="V1830" s="61"/>
      <c r="W1830" s="61"/>
      <c r="X1830" s="61"/>
      <c r="Y1830" s="61"/>
      <c r="Z1830" s="61"/>
    </row>
    <row r="1831" spans="1:26" ht="13">
      <c r="A1831" s="61"/>
      <c r="B1831" s="61"/>
      <c r="C1831" s="61"/>
      <c r="D1831" s="61"/>
      <c r="E1831" s="61"/>
      <c r="F1831" s="61"/>
      <c r="G1831" s="179"/>
      <c r="H1831" s="61"/>
      <c r="I1831" s="61"/>
      <c r="J1831" s="61"/>
      <c r="K1831" s="61"/>
      <c r="L1831" s="61"/>
      <c r="M1831" s="61"/>
      <c r="N1831" s="61"/>
      <c r="O1831" s="61"/>
      <c r="P1831" s="61"/>
      <c r="Q1831" s="61"/>
      <c r="R1831" s="61"/>
      <c r="S1831" s="61"/>
      <c r="T1831" s="61"/>
      <c r="U1831" s="61"/>
      <c r="V1831" s="61"/>
      <c r="W1831" s="61"/>
      <c r="X1831" s="61"/>
      <c r="Y1831" s="61"/>
      <c r="Z1831" s="61"/>
    </row>
    <row r="1832" spans="1:26" ht="13">
      <c r="A1832" s="61"/>
      <c r="B1832" s="61"/>
      <c r="C1832" s="61"/>
      <c r="D1832" s="61"/>
      <c r="E1832" s="61"/>
      <c r="F1832" s="61"/>
      <c r="G1832" s="179"/>
      <c r="H1832" s="61"/>
      <c r="I1832" s="61"/>
      <c r="J1832" s="61"/>
      <c r="K1832" s="61"/>
      <c r="L1832" s="61"/>
      <c r="M1832" s="61"/>
      <c r="N1832" s="61"/>
      <c r="O1832" s="61"/>
      <c r="P1832" s="61"/>
      <c r="Q1832" s="61"/>
      <c r="R1832" s="61"/>
      <c r="S1832" s="61"/>
      <c r="T1832" s="61"/>
      <c r="U1832" s="61"/>
      <c r="V1832" s="61"/>
      <c r="W1832" s="61"/>
      <c r="X1832" s="61"/>
      <c r="Y1832" s="61"/>
      <c r="Z1832" s="61"/>
    </row>
    <row r="1833" spans="1:26" ht="13">
      <c r="A1833" s="61"/>
      <c r="B1833" s="61"/>
      <c r="C1833" s="61"/>
      <c r="D1833" s="61"/>
      <c r="E1833" s="61"/>
      <c r="F1833" s="61"/>
      <c r="G1833" s="179"/>
      <c r="H1833" s="61"/>
      <c r="I1833" s="61"/>
      <c r="J1833" s="61"/>
      <c r="K1833" s="61"/>
      <c r="L1833" s="61"/>
      <c r="M1833" s="61"/>
      <c r="N1833" s="61"/>
      <c r="O1833" s="61"/>
      <c r="P1833" s="61"/>
      <c r="Q1833" s="61"/>
      <c r="R1833" s="61"/>
      <c r="S1833" s="61"/>
      <c r="T1833" s="61"/>
      <c r="U1833" s="61"/>
      <c r="V1833" s="61"/>
      <c r="W1833" s="61"/>
      <c r="X1833" s="61"/>
      <c r="Y1833" s="61"/>
      <c r="Z1833" s="61"/>
    </row>
    <row r="1834" spans="1:26" ht="13">
      <c r="A1834" s="61"/>
      <c r="B1834" s="61"/>
      <c r="C1834" s="61"/>
      <c r="D1834" s="61"/>
      <c r="E1834" s="61"/>
      <c r="F1834" s="61"/>
      <c r="G1834" s="179"/>
      <c r="H1834" s="61"/>
      <c r="I1834" s="61"/>
      <c r="J1834" s="61"/>
      <c r="K1834" s="61"/>
      <c r="L1834" s="61"/>
      <c r="M1834" s="61"/>
      <c r="N1834" s="61"/>
      <c r="O1834" s="61"/>
      <c r="P1834" s="61"/>
      <c r="Q1834" s="61"/>
      <c r="R1834" s="61"/>
      <c r="S1834" s="61"/>
      <c r="T1834" s="61"/>
      <c r="U1834" s="61"/>
      <c r="V1834" s="61"/>
      <c r="W1834" s="61"/>
      <c r="X1834" s="61"/>
      <c r="Y1834" s="61"/>
      <c r="Z1834" s="61"/>
    </row>
    <row r="1835" spans="1:26" ht="13">
      <c r="A1835" s="61"/>
      <c r="B1835" s="61"/>
      <c r="C1835" s="61"/>
      <c r="D1835" s="61"/>
      <c r="E1835" s="61"/>
      <c r="F1835" s="61"/>
      <c r="G1835" s="179"/>
      <c r="H1835" s="61"/>
      <c r="I1835" s="61"/>
      <c r="J1835" s="61"/>
      <c r="K1835" s="61"/>
      <c r="L1835" s="61"/>
      <c r="M1835" s="61"/>
      <c r="N1835" s="61"/>
      <c r="O1835" s="61"/>
      <c r="P1835" s="61"/>
      <c r="Q1835" s="61"/>
      <c r="R1835" s="61"/>
      <c r="S1835" s="61"/>
      <c r="T1835" s="61"/>
      <c r="U1835" s="61"/>
      <c r="V1835" s="61"/>
      <c r="W1835" s="61"/>
      <c r="X1835" s="61"/>
      <c r="Y1835" s="61"/>
      <c r="Z1835" s="61"/>
    </row>
    <row r="1836" spans="1:26" ht="13">
      <c r="A1836" s="61"/>
      <c r="B1836" s="61"/>
      <c r="C1836" s="61"/>
      <c r="D1836" s="61"/>
      <c r="E1836" s="61"/>
      <c r="F1836" s="61"/>
      <c r="G1836" s="179"/>
      <c r="H1836" s="61"/>
      <c r="I1836" s="61"/>
      <c r="J1836" s="61"/>
      <c r="K1836" s="61"/>
      <c r="L1836" s="61"/>
      <c r="M1836" s="61"/>
      <c r="N1836" s="61"/>
      <c r="O1836" s="61"/>
      <c r="P1836" s="61"/>
      <c r="Q1836" s="61"/>
      <c r="R1836" s="61"/>
      <c r="S1836" s="61"/>
      <c r="T1836" s="61"/>
      <c r="U1836" s="61"/>
      <c r="V1836" s="61"/>
      <c r="W1836" s="61"/>
      <c r="X1836" s="61"/>
      <c r="Y1836" s="61"/>
      <c r="Z1836" s="61"/>
    </row>
    <row r="1837" spans="1:26" ht="13">
      <c r="A1837" s="61"/>
      <c r="B1837" s="61"/>
      <c r="C1837" s="61"/>
      <c r="D1837" s="61"/>
      <c r="E1837" s="61"/>
      <c r="F1837" s="61"/>
      <c r="G1837" s="179"/>
      <c r="H1837" s="61"/>
      <c r="I1837" s="61"/>
      <c r="J1837" s="61"/>
      <c r="K1837" s="61"/>
      <c r="L1837" s="61"/>
      <c r="M1837" s="61"/>
      <c r="N1837" s="61"/>
      <c r="O1837" s="61"/>
      <c r="P1837" s="61"/>
      <c r="Q1837" s="61"/>
      <c r="R1837" s="61"/>
      <c r="S1837" s="61"/>
      <c r="T1837" s="61"/>
      <c r="U1837" s="61"/>
      <c r="V1837" s="61"/>
      <c r="W1837" s="61"/>
      <c r="X1837" s="61"/>
      <c r="Y1837" s="61"/>
      <c r="Z1837" s="61"/>
    </row>
    <row r="1838" spans="1:26" ht="13">
      <c r="A1838" s="61"/>
      <c r="B1838" s="61"/>
      <c r="C1838" s="61"/>
      <c r="D1838" s="61"/>
      <c r="E1838" s="61"/>
      <c r="F1838" s="61"/>
      <c r="G1838" s="179"/>
      <c r="H1838" s="61"/>
      <c r="I1838" s="61"/>
      <c r="J1838" s="61"/>
      <c r="K1838" s="61"/>
      <c r="L1838" s="61"/>
      <c r="M1838" s="61"/>
      <c r="N1838" s="61"/>
      <c r="O1838" s="61"/>
      <c r="P1838" s="61"/>
      <c r="Q1838" s="61"/>
      <c r="R1838" s="61"/>
      <c r="S1838" s="61"/>
      <c r="T1838" s="61"/>
      <c r="U1838" s="61"/>
      <c r="V1838" s="61"/>
      <c r="W1838" s="61"/>
      <c r="X1838" s="61"/>
      <c r="Y1838" s="61"/>
      <c r="Z1838" s="61"/>
    </row>
    <row r="1839" spans="1:26" ht="13">
      <c r="A1839" s="61"/>
      <c r="B1839" s="61"/>
      <c r="C1839" s="61"/>
      <c r="D1839" s="61"/>
      <c r="E1839" s="61"/>
      <c r="F1839" s="61"/>
      <c r="G1839" s="179"/>
      <c r="H1839" s="61"/>
      <c r="I1839" s="61"/>
      <c r="J1839" s="61"/>
      <c r="K1839" s="61"/>
      <c r="L1839" s="61"/>
      <c r="M1839" s="61"/>
      <c r="N1839" s="61"/>
      <c r="O1839" s="61"/>
      <c r="P1839" s="61"/>
      <c r="Q1839" s="61"/>
      <c r="R1839" s="61"/>
      <c r="S1839" s="61"/>
      <c r="T1839" s="61"/>
      <c r="U1839" s="61"/>
      <c r="V1839" s="61"/>
      <c r="W1839" s="61"/>
      <c r="X1839" s="61"/>
      <c r="Y1839" s="61"/>
      <c r="Z1839" s="61"/>
    </row>
    <row r="1840" spans="1:26" ht="13">
      <c r="A1840" s="61"/>
      <c r="B1840" s="61"/>
      <c r="C1840" s="61"/>
      <c r="D1840" s="61"/>
      <c r="E1840" s="61"/>
      <c r="F1840" s="61"/>
      <c r="G1840" s="179"/>
      <c r="H1840" s="61"/>
      <c r="I1840" s="61"/>
      <c r="J1840" s="61"/>
      <c r="K1840" s="61"/>
      <c r="L1840" s="61"/>
      <c r="M1840" s="61"/>
      <c r="N1840" s="61"/>
      <c r="O1840" s="61"/>
      <c r="P1840" s="61"/>
      <c r="Q1840" s="61"/>
      <c r="R1840" s="61"/>
      <c r="S1840" s="61"/>
      <c r="T1840" s="61"/>
      <c r="U1840" s="61"/>
      <c r="V1840" s="61"/>
      <c r="W1840" s="61"/>
      <c r="X1840" s="61"/>
      <c r="Y1840" s="61"/>
      <c r="Z1840" s="61"/>
    </row>
    <row r="1841" spans="1:26" ht="13">
      <c r="A1841" s="61"/>
      <c r="B1841" s="61"/>
      <c r="C1841" s="61"/>
      <c r="D1841" s="61"/>
      <c r="E1841" s="61"/>
      <c r="F1841" s="61"/>
      <c r="G1841" s="179"/>
      <c r="H1841" s="61"/>
      <c r="I1841" s="61"/>
      <c r="J1841" s="61"/>
      <c r="K1841" s="61"/>
      <c r="L1841" s="61"/>
      <c r="M1841" s="61"/>
      <c r="N1841" s="61"/>
      <c r="O1841" s="61"/>
      <c r="P1841" s="61"/>
      <c r="Q1841" s="61"/>
      <c r="R1841" s="61"/>
      <c r="S1841" s="61"/>
      <c r="T1841" s="61"/>
      <c r="U1841" s="61"/>
      <c r="V1841" s="61"/>
      <c r="W1841" s="61"/>
      <c r="X1841" s="61"/>
      <c r="Y1841" s="61"/>
      <c r="Z1841" s="61"/>
    </row>
    <row r="1842" spans="1:26" ht="13">
      <c r="A1842" s="61"/>
      <c r="B1842" s="61"/>
      <c r="C1842" s="61"/>
      <c r="D1842" s="61"/>
      <c r="E1842" s="61"/>
      <c r="F1842" s="61"/>
      <c r="G1842" s="179"/>
      <c r="H1842" s="61"/>
      <c r="I1842" s="61"/>
      <c r="J1842" s="61"/>
      <c r="K1842" s="61"/>
      <c r="L1842" s="61"/>
      <c r="M1842" s="61"/>
      <c r="N1842" s="61"/>
      <c r="O1842" s="61"/>
      <c r="P1842" s="61"/>
      <c r="Q1842" s="61"/>
      <c r="R1842" s="61"/>
      <c r="S1842" s="61"/>
      <c r="T1842" s="61"/>
      <c r="U1842" s="61"/>
      <c r="V1842" s="61"/>
      <c r="W1842" s="61"/>
      <c r="X1842" s="61"/>
      <c r="Y1842" s="61"/>
      <c r="Z1842" s="61"/>
    </row>
    <row r="1843" spans="1:26" ht="13">
      <c r="A1843" s="61"/>
      <c r="B1843" s="61"/>
      <c r="C1843" s="61"/>
      <c r="D1843" s="61"/>
      <c r="E1843" s="61"/>
      <c r="F1843" s="61"/>
      <c r="G1843" s="179"/>
      <c r="H1843" s="61"/>
      <c r="I1843" s="61"/>
      <c r="J1843" s="61"/>
      <c r="K1843" s="61"/>
      <c r="L1843" s="61"/>
      <c r="M1843" s="61"/>
      <c r="N1843" s="61"/>
      <c r="O1843" s="61"/>
      <c r="P1843" s="61"/>
      <c r="Q1843" s="61"/>
      <c r="R1843" s="61"/>
      <c r="S1843" s="61"/>
      <c r="T1843" s="61"/>
      <c r="U1843" s="61"/>
      <c r="V1843" s="61"/>
      <c r="W1843" s="61"/>
      <c r="X1843" s="61"/>
      <c r="Y1843" s="61"/>
      <c r="Z1843" s="61"/>
    </row>
    <row r="1844" spans="1:26" ht="13">
      <c r="A1844" s="61"/>
      <c r="B1844" s="61"/>
      <c r="C1844" s="61"/>
      <c r="D1844" s="61"/>
      <c r="E1844" s="61"/>
      <c r="F1844" s="61"/>
      <c r="G1844" s="179"/>
      <c r="H1844" s="61"/>
      <c r="I1844" s="61"/>
      <c r="J1844" s="61"/>
      <c r="K1844" s="61"/>
      <c r="L1844" s="61"/>
      <c r="M1844" s="61"/>
      <c r="N1844" s="61"/>
      <c r="O1844" s="61"/>
      <c r="P1844" s="61"/>
      <c r="Q1844" s="61"/>
      <c r="R1844" s="61"/>
      <c r="S1844" s="61"/>
      <c r="T1844" s="61"/>
      <c r="U1844" s="61"/>
      <c r="V1844" s="61"/>
      <c r="W1844" s="61"/>
      <c r="X1844" s="61"/>
      <c r="Y1844" s="61"/>
      <c r="Z1844" s="61"/>
    </row>
    <row r="1845" spans="1:26" ht="13">
      <c r="A1845" s="61"/>
      <c r="B1845" s="61"/>
      <c r="C1845" s="61"/>
      <c r="D1845" s="61"/>
      <c r="E1845" s="61"/>
      <c r="F1845" s="61"/>
      <c r="G1845" s="179"/>
      <c r="H1845" s="61"/>
      <c r="I1845" s="61"/>
      <c r="J1845" s="61"/>
      <c r="K1845" s="61"/>
      <c r="L1845" s="61"/>
      <c r="M1845" s="61"/>
      <c r="N1845" s="61"/>
      <c r="O1845" s="61"/>
      <c r="P1845" s="61"/>
      <c r="Q1845" s="61"/>
      <c r="R1845" s="61"/>
      <c r="S1845" s="61"/>
      <c r="T1845" s="61"/>
      <c r="U1845" s="61"/>
      <c r="V1845" s="61"/>
      <c r="W1845" s="61"/>
      <c r="X1845" s="61"/>
      <c r="Y1845" s="61"/>
      <c r="Z1845" s="61"/>
    </row>
    <row r="1846" spans="1:26" ht="13">
      <c r="A1846" s="61"/>
      <c r="B1846" s="61"/>
      <c r="C1846" s="61"/>
      <c r="D1846" s="61"/>
      <c r="E1846" s="61"/>
      <c r="F1846" s="61"/>
      <c r="G1846" s="179"/>
      <c r="H1846" s="61"/>
      <c r="I1846" s="61"/>
      <c r="J1846" s="61"/>
      <c r="K1846" s="61"/>
      <c r="L1846" s="61"/>
      <c r="M1846" s="61"/>
      <c r="N1846" s="61"/>
      <c r="O1846" s="61"/>
      <c r="P1846" s="61"/>
      <c r="Q1846" s="61"/>
      <c r="R1846" s="61"/>
      <c r="S1846" s="61"/>
      <c r="T1846" s="61"/>
      <c r="U1846" s="61"/>
      <c r="V1846" s="61"/>
      <c r="W1846" s="61"/>
      <c r="X1846" s="61"/>
      <c r="Y1846" s="61"/>
      <c r="Z1846" s="61"/>
    </row>
    <row r="1847" spans="1:26" ht="13">
      <c r="A1847" s="61"/>
      <c r="B1847" s="61"/>
      <c r="C1847" s="61"/>
      <c r="D1847" s="61"/>
      <c r="E1847" s="61"/>
      <c r="F1847" s="61"/>
      <c r="G1847" s="179"/>
      <c r="H1847" s="61"/>
      <c r="I1847" s="61"/>
      <c r="J1847" s="61"/>
      <c r="K1847" s="61"/>
      <c r="L1847" s="61"/>
      <c r="M1847" s="61"/>
      <c r="N1847" s="61"/>
      <c r="O1847" s="61"/>
      <c r="P1847" s="61"/>
      <c r="Q1847" s="61"/>
      <c r="R1847" s="61"/>
      <c r="S1847" s="61"/>
      <c r="T1847" s="61"/>
      <c r="U1847" s="61"/>
      <c r="V1847" s="61"/>
      <c r="W1847" s="61"/>
      <c r="X1847" s="61"/>
      <c r="Y1847" s="61"/>
      <c r="Z1847" s="61"/>
    </row>
    <row r="1848" spans="1:26" ht="13">
      <c r="A1848" s="61"/>
      <c r="B1848" s="61"/>
      <c r="C1848" s="61"/>
      <c r="D1848" s="61"/>
      <c r="E1848" s="61"/>
      <c r="F1848" s="61"/>
      <c r="G1848" s="179"/>
      <c r="H1848" s="61"/>
      <c r="I1848" s="61"/>
      <c r="J1848" s="61"/>
      <c r="K1848" s="61"/>
      <c r="L1848" s="61"/>
      <c r="M1848" s="61"/>
      <c r="N1848" s="61"/>
      <c r="O1848" s="61"/>
      <c r="P1848" s="61"/>
      <c r="Q1848" s="61"/>
      <c r="R1848" s="61"/>
      <c r="S1848" s="61"/>
      <c r="T1848" s="61"/>
      <c r="U1848" s="61"/>
      <c r="V1848" s="61"/>
      <c r="W1848" s="61"/>
      <c r="X1848" s="61"/>
      <c r="Y1848" s="61"/>
      <c r="Z1848" s="61"/>
    </row>
    <row r="1849" spans="1:26" ht="13">
      <c r="A1849" s="61"/>
      <c r="B1849" s="61"/>
      <c r="C1849" s="61"/>
      <c r="D1849" s="61"/>
      <c r="E1849" s="61"/>
      <c r="F1849" s="61"/>
      <c r="G1849" s="179"/>
      <c r="H1849" s="61"/>
      <c r="I1849" s="61"/>
      <c r="J1849" s="61"/>
      <c r="K1849" s="61"/>
      <c r="L1849" s="61"/>
      <c r="M1849" s="61"/>
      <c r="N1849" s="61"/>
      <c r="O1849" s="61"/>
      <c r="P1849" s="61"/>
      <c r="Q1849" s="61"/>
      <c r="R1849" s="61"/>
      <c r="S1849" s="61"/>
      <c r="T1849" s="61"/>
      <c r="U1849" s="61"/>
      <c r="V1849" s="61"/>
      <c r="W1849" s="61"/>
      <c r="X1849" s="61"/>
      <c r="Y1849" s="61"/>
      <c r="Z1849" s="61"/>
    </row>
    <row r="1850" spans="1:26" ht="13">
      <c r="A1850" s="61"/>
      <c r="B1850" s="61"/>
      <c r="C1850" s="61"/>
      <c r="D1850" s="61"/>
      <c r="E1850" s="61"/>
      <c r="F1850" s="61"/>
      <c r="G1850" s="179"/>
      <c r="H1850" s="61"/>
      <c r="I1850" s="61"/>
      <c r="J1850" s="61"/>
      <c r="K1850" s="61"/>
      <c r="L1850" s="61"/>
      <c r="M1850" s="61"/>
      <c r="N1850" s="61"/>
      <c r="O1850" s="61"/>
      <c r="P1850" s="61"/>
      <c r="Q1850" s="61"/>
      <c r="R1850" s="61"/>
      <c r="S1850" s="61"/>
      <c r="T1850" s="61"/>
      <c r="U1850" s="61"/>
      <c r="V1850" s="61"/>
      <c r="W1850" s="61"/>
      <c r="X1850" s="61"/>
      <c r="Y1850" s="61"/>
      <c r="Z1850" s="61"/>
    </row>
    <row r="1851" spans="1:26" ht="13">
      <c r="A1851" s="61"/>
      <c r="B1851" s="61"/>
      <c r="C1851" s="61"/>
      <c r="D1851" s="61"/>
      <c r="E1851" s="61"/>
      <c r="F1851" s="61"/>
      <c r="G1851" s="179"/>
      <c r="H1851" s="61"/>
      <c r="I1851" s="61"/>
      <c r="J1851" s="61"/>
      <c r="K1851" s="61"/>
      <c r="L1851" s="61"/>
      <c r="M1851" s="61"/>
      <c r="N1851" s="61"/>
      <c r="O1851" s="61"/>
      <c r="P1851" s="61"/>
      <c r="Q1851" s="61"/>
      <c r="R1851" s="61"/>
      <c r="S1851" s="61"/>
      <c r="T1851" s="61"/>
      <c r="U1851" s="61"/>
      <c r="V1851" s="61"/>
      <c r="W1851" s="61"/>
      <c r="X1851" s="61"/>
      <c r="Y1851" s="61"/>
      <c r="Z1851" s="61"/>
    </row>
    <row r="1852" spans="1:26" ht="13">
      <c r="A1852" s="61"/>
      <c r="B1852" s="61"/>
      <c r="C1852" s="61"/>
      <c r="D1852" s="61"/>
      <c r="E1852" s="61"/>
      <c r="F1852" s="61"/>
      <c r="G1852" s="179"/>
      <c r="H1852" s="61"/>
      <c r="I1852" s="61"/>
      <c r="J1852" s="61"/>
      <c r="K1852" s="61"/>
      <c r="L1852" s="61"/>
      <c r="M1852" s="61"/>
      <c r="N1852" s="61"/>
      <c r="O1852" s="61"/>
      <c r="P1852" s="61"/>
      <c r="Q1852" s="61"/>
      <c r="R1852" s="61"/>
      <c r="S1852" s="61"/>
      <c r="T1852" s="61"/>
      <c r="U1852" s="61"/>
      <c r="V1852" s="61"/>
      <c r="W1852" s="61"/>
      <c r="X1852" s="61"/>
      <c r="Y1852" s="61"/>
      <c r="Z1852" s="61"/>
    </row>
    <row r="1853" spans="1:26" ht="13">
      <c r="A1853" s="61"/>
      <c r="B1853" s="61"/>
      <c r="C1853" s="61"/>
      <c r="D1853" s="61"/>
      <c r="E1853" s="61"/>
      <c r="F1853" s="61"/>
      <c r="G1853" s="179"/>
      <c r="H1853" s="61"/>
      <c r="I1853" s="61"/>
      <c r="J1853" s="61"/>
      <c r="K1853" s="61"/>
      <c r="L1853" s="61"/>
      <c r="M1853" s="61"/>
      <c r="N1853" s="61"/>
      <c r="O1853" s="61"/>
      <c r="P1853" s="61"/>
      <c r="Q1853" s="61"/>
      <c r="R1853" s="61"/>
      <c r="S1853" s="61"/>
      <c r="T1853" s="61"/>
      <c r="U1853" s="61"/>
      <c r="V1853" s="61"/>
      <c r="W1853" s="61"/>
      <c r="X1853" s="61"/>
      <c r="Y1853" s="61"/>
      <c r="Z1853" s="61"/>
    </row>
    <row r="1854" spans="1:26" ht="13">
      <c r="A1854" s="61"/>
      <c r="B1854" s="61"/>
      <c r="C1854" s="61"/>
      <c r="D1854" s="61"/>
      <c r="E1854" s="61"/>
      <c r="F1854" s="61"/>
      <c r="G1854" s="179"/>
      <c r="H1854" s="61"/>
      <c r="I1854" s="61"/>
      <c r="J1854" s="61"/>
      <c r="K1854" s="61"/>
      <c r="L1854" s="61"/>
      <c r="M1854" s="61"/>
      <c r="N1854" s="61"/>
      <c r="O1854" s="61"/>
      <c r="P1854" s="61"/>
      <c r="Q1854" s="61"/>
      <c r="R1854" s="61"/>
      <c r="S1854" s="61"/>
      <c r="T1854" s="61"/>
      <c r="U1854" s="61"/>
      <c r="V1854" s="61"/>
      <c r="W1854" s="61"/>
      <c r="X1854" s="61"/>
      <c r="Y1854" s="61"/>
      <c r="Z1854" s="61"/>
    </row>
    <row r="1855" spans="1:26" ht="13">
      <c r="A1855" s="61"/>
      <c r="B1855" s="61"/>
      <c r="C1855" s="61"/>
      <c r="D1855" s="61"/>
      <c r="E1855" s="61"/>
      <c r="F1855" s="61"/>
      <c r="G1855" s="179"/>
      <c r="H1855" s="61"/>
      <c r="I1855" s="61"/>
      <c r="J1855" s="61"/>
      <c r="K1855" s="61"/>
      <c r="L1855" s="61"/>
      <c r="M1855" s="61"/>
      <c r="N1855" s="61"/>
      <c r="O1855" s="61"/>
      <c r="P1855" s="61"/>
      <c r="Q1855" s="61"/>
      <c r="R1855" s="61"/>
      <c r="S1855" s="61"/>
      <c r="T1855" s="61"/>
      <c r="U1855" s="61"/>
      <c r="V1855" s="61"/>
      <c r="W1855" s="61"/>
      <c r="X1855" s="61"/>
      <c r="Y1855" s="61"/>
      <c r="Z1855" s="61"/>
    </row>
    <row r="1856" spans="1:26" ht="13">
      <c r="A1856" s="61"/>
      <c r="B1856" s="61"/>
      <c r="C1856" s="61"/>
      <c r="D1856" s="61"/>
      <c r="E1856" s="61"/>
      <c r="F1856" s="61"/>
      <c r="G1856" s="179"/>
      <c r="H1856" s="61"/>
      <c r="I1856" s="61"/>
      <c r="J1856" s="61"/>
      <c r="K1856" s="61"/>
      <c r="L1856" s="61"/>
      <c r="M1856" s="61"/>
      <c r="N1856" s="61"/>
      <c r="O1856" s="61"/>
      <c r="P1856" s="61"/>
      <c r="Q1856" s="61"/>
      <c r="R1856" s="61"/>
      <c r="S1856" s="61"/>
      <c r="T1856" s="61"/>
      <c r="U1856" s="61"/>
      <c r="V1856" s="61"/>
      <c r="W1856" s="61"/>
      <c r="X1856" s="61"/>
      <c r="Y1856" s="61"/>
      <c r="Z1856" s="61"/>
    </row>
    <row r="1857" spans="1:26" ht="13">
      <c r="A1857" s="61"/>
      <c r="B1857" s="61"/>
      <c r="C1857" s="61"/>
      <c r="D1857" s="61"/>
      <c r="E1857" s="61"/>
      <c r="F1857" s="61"/>
      <c r="G1857" s="179"/>
      <c r="H1857" s="61"/>
      <c r="I1857" s="61"/>
      <c r="J1857" s="61"/>
      <c r="K1857" s="61"/>
      <c r="L1857" s="61"/>
      <c r="M1857" s="61"/>
      <c r="N1857" s="61"/>
      <c r="O1857" s="61"/>
      <c r="P1857" s="61"/>
      <c r="Q1857" s="61"/>
      <c r="R1857" s="61"/>
      <c r="S1857" s="61"/>
      <c r="T1857" s="61"/>
      <c r="U1857" s="61"/>
      <c r="V1857" s="61"/>
      <c r="W1857" s="61"/>
      <c r="X1857" s="61"/>
      <c r="Y1857" s="61"/>
      <c r="Z1857" s="61"/>
    </row>
    <row r="1858" spans="1:26" ht="13">
      <c r="A1858" s="61"/>
      <c r="B1858" s="61"/>
      <c r="C1858" s="61"/>
      <c r="D1858" s="61"/>
      <c r="E1858" s="61"/>
      <c r="F1858" s="61"/>
      <c r="G1858" s="179"/>
      <c r="H1858" s="61"/>
      <c r="I1858" s="61"/>
      <c r="J1858" s="61"/>
      <c r="K1858" s="61"/>
      <c r="L1858" s="61"/>
      <c r="M1858" s="61"/>
      <c r="N1858" s="61"/>
      <c r="O1858" s="61"/>
      <c r="P1858" s="61"/>
      <c r="Q1858" s="61"/>
      <c r="R1858" s="61"/>
      <c r="S1858" s="61"/>
      <c r="T1858" s="61"/>
      <c r="U1858" s="61"/>
      <c r="V1858" s="61"/>
      <c r="W1858" s="61"/>
      <c r="X1858" s="61"/>
      <c r="Y1858" s="61"/>
      <c r="Z1858" s="61"/>
    </row>
    <row r="1859" spans="1:26" ht="13">
      <c r="A1859" s="61"/>
      <c r="B1859" s="61"/>
      <c r="C1859" s="61"/>
      <c r="D1859" s="61"/>
      <c r="E1859" s="61"/>
      <c r="F1859" s="61"/>
      <c r="G1859" s="179"/>
      <c r="H1859" s="61"/>
      <c r="I1859" s="61"/>
      <c r="J1859" s="61"/>
      <c r="K1859" s="61"/>
      <c r="L1859" s="61"/>
      <c r="M1859" s="61"/>
      <c r="N1859" s="61"/>
      <c r="O1859" s="61"/>
      <c r="P1859" s="61"/>
      <c r="Q1859" s="61"/>
      <c r="R1859" s="61"/>
      <c r="S1859" s="61"/>
      <c r="T1859" s="61"/>
      <c r="U1859" s="61"/>
      <c r="V1859" s="61"/>
      <c r="W1859" s="61"/>
      <c r="X1859" s="61"/>
      <c r="Y1859" s="61"/>
      <c r="Z1859" s="61"/>
    </row>
    <row r="1860" spans="1:26" ht="13">
      <c r="A1860" s="61"/>
      <c r="B1860" s="61"/>
      <c r="C1860" s="61"/>
      <c r="D1860" s="61"/>
      <c r="E1860" s="61"/>
      <c r="F1860" s="61"/>
      <c r="G1860" s="179"/>
      <c r="H1860" s="61"/>
      <c r="I1860" s="61"/>
      <c r="J1860" s="61"/>
      <c r="K1860" s="61"/>
      <c r="L1860" s="61"/>
      <c r="M1860" s="61"/>
      <c r="N1860" s="61"/>
      <c r="O1860" s="61"/>
      <c r="P1860" s="61"/>
      <c r="Q1860" s="61"/>
      <c r="R1860" s="61"/>
      <c r="S1860" s="61"/>
      <c r="T1860" s="61"/>
      <c r="U1860" s="61"/>
      <c r="V1860" s="61"/>
      <c r="W1860" s="61"/>
      <c r="X1860" s="61"/>
      <c r="Y1860" s="61"/>
      <c r="Z1860" s="61"/>
    </row>
    <row r="1861" spans="1:26" ht="13">
      <c r="A1861" s="61"/>
      <c r="B1861" s="61"/>
      <c r="C1861" s="61"/>
      <c r="D1861" s="61"/>
      <c r="E1861" s="61"/>
      <c r="F1861" s="61"/>
      <c r="G1861" s="179"/>
      <c r="H1861" s="61"/>
      <c r="I1861" s="61"/>
      <c r="J1861" s="61"/>
      <c r="K1861" s="61"/>
      <c r="L1861" s="61"/>
      <c r="M1861" s="61"/>
      <c r="N1861" s="61"/>
      <c r="O1861" s="61"/>
      <c r="P1861" s="61"/>
      <c r="Q1861" s="61"/>
      <c r="R1861" s="61"/>
      <c r="S1861" s="61"/>
      <c r="T1861" s="61"/>
      <c r="U1861" s="61"/>
      <c r="V1861" s="61"/>
      <c r="W1861" s="61"/>
      <c r="X1861" s="61"/>
      <c r="Y1861" s="61"/>
      <c r="Z1861" s="61"/>
    </row>
    <row r="1862" spans="1:26" ht="13">
      <c r="A1862" s="61"/>
      <c r="B1862" s="61"/>
      <c r="C1862" s="61"/>
      <c r="D1862" s="61"/>
      <c r="E1862" s="61"/>
      <c r="F1862" s="61"/>
      <c r="G1862" s="179"/>
      <c r="H1862" s="61"/>
      <c r="I1862" s="61"/>
      <c r="J1862" s="61"/>
      <c r="K1862" s="61"/>
      <c r="L1862" s="61"/>
      <c r="M1862" s="61"/>
      <c r="N1862" s="61"/>
      <c r="O1862" s="61"/>
      <c r="P1862" s="61"/>
      <c r="Q1862" s="61"/>
      <c r="R1862" s="61"/>
      <c r="S1862" s="61"/>
      <c r="T1862" s="61"/>
      <c r="U1862" s="61"/>
      <c r="V1862" s="61"/>
      <c r="W1862" s="61"/>
      <c r="X1862" s="61"/>
      <c r="Y1862" s="61"/>
      <c r="Z1862" s="61"/>
    </row>
    <row r="1863" spans="1:26" ht="13">
      <c r="A1863" s="61"/>
      <c r="B1863" s="61"/>
      <c r="C1863" s="61"/>
      <c r="D1863" s="61"/>
      <c r="E1863" s="61"/>
      <c r="F1863" s="61"/>
      <c r="G1863" s="179"/>
      <c r="H1863" s="61"/>
      <c r="I1863" s="61"/>
      <c r="J1863" s="61"/>
      <c r="K1863" s="61"/>
      <c r="L1863" s="61"/>
      <c r="M1863" s="61"/>
      <c r="N1863" s="61"/>
      <c r="O1863" s="61"/>
      <c r="P1863" s="61"/>
      <c r="Q1863" s="61"/>
      <c r="R1863" s="61"/>
      <c r="S1863" s="61"/>
      <c r="T1863" s="61"/>
      <c r="U1863" s="61"/>
      <c r="V1863" s="61"/>
      <c r="W1863" s="61"/>
      <c r="X1863" s="61"/>
      <c r="Y1863" s="61"/>
      <c r="Z1863" s="61"/>
    </row>
    <row r="1864" spans="1:26" ht="13">
      <c r="A1864" s="61"/>
      <c r="B1864" s="61"/>
      <c r="C1864" s="61"/>
      <c r="D1864" s="61"/>
      <c r="E1864" s="61"/>
      <c r="F1864" s="61"/>
      <c r="G1864" s="179"/>
      <c r="H1864" s="61"/>
      <c r="I1864" s="61"/>
      <c r="J1864" s="61"/>
      <c r="K1864" s="61"/>
      <c r="L1864" s="61"/>
      <c r="M1864" s="61"/>
      <c r="N1864" s="61"/>
      <c r="O1864" s="61"/>
      <c r="P1864" s="61"/>
      <c r="Q1864" s="61"/>
      <c r="R1864" s="61"/>
      <c r="S1864" s="61"/>
      <c r="T1864" s="61"/>
      <c r="U1864" s="61"/>
      <c r="V1864" s="61"/>
      <c r="W1864" s="61"/>
      <c r="X1864" s="61"/>
      <c r="Y1864" s="61"/>
      <c r="Z1864" s="61"/>
    </row>
    <row r="1865" spans="1:26" ht="13">
      <c r="A1865" s="61"/>
      <c r="B1865" s="61"/>
      <c r="C1865" s="61"/>
      <c r="D1865" s="61"/>
      <c r="E1865" s="61"/>
      <c r="F1865" s="61"/>
      <c r="G1865" s="179"/>
      <c r="H1865" s="61"/>
      <c r="I1865" s="61"/>
      <c r="J1865" s="61"/>
      <c r="K1865" s="61"/>
      <c r="L1865" s="61"/>
      <c r="M1865" s="61"/>
      <c r="N1865" s="61"/>
      <c r="O1865" s="61"/>
      <c r="P1865" s="61"/>
      <c r="Q1865" s="61"/>
      <c r="R1865" s="61"/>
      <c r="S1865" s="61"/>
      <c r="T1865" s="61"/>
      <c r="U1865" s="61"/>
      <c r="V1865" s="61"/>
      <c r="W1865" s="61"/>
      <c r="X1865" s="61"/>
      <c r="Y1865" s="61"/>
      <c r="Z1865" s="61"/>
    </row>
    <row r="1866" spans="1:26" ht="13">
      <c r="A1866" s="61"/>
      <c r="B1866" s="61"/>
      <c r="C1866" s="61"/>
      <c r="D1866" s="61"/>
      <c r="E1866" s="61"/>
      <c r="F1866" s="61"/>
      <c r="G1866" s="179"/>
      <c r="H1866" s="61"/>
      <c r="I1866" s="61"/>
      <c r="J1866" s="61"/>
      <c r="K1866" s="61"/>
      <c r="L1866" s="61"/>
      <c r="M1866" s="61"/>
      <c r="N1866" s="61"/>
      <c r="O1866" s="61"/>
      <c r="P1866" s="61"/>
      <c r="Q1866" s="61"/>
      <c r="R1866" s="61"/>
      <c r="S1866" s="61"/>
      <c r="T1866" s="61"/>
      <c r="U1866" s="61"/>
      <c r="V1866" s="61"/>
      <c r="W1866" s="61"/>
      <c r="X1866" s="61"/>
      <c r="Y1866" s="61"/>
      <c r="Z1866" s="61"/>
    </row>
    <row r="1867" spans="1:26" ht="13">
      <c r="A1867" s="61"/>
      <c r="B1867" s="61"/>
      <c r="C1867" s="61"/>
      <c r="D1867" s="61"/>
      <c r="E1867" s="61"/>
      <c r="F1867" s="61"/>
      <c r="G1867" s="179"/>
      <c r="H1867" s="61"/>
      <c r="I1867" s="61"/>
      <c r="J1867" s="61"/>
      <c r="K1867" s="61"/>
      <c r="L1867" s="61"/>
      <c r="M1867" s="61"/>
      <c r="N1867" s="61"/>
      <c r="O1867" s="61"/>
      <c r="P1867" s="61"/>
      <c r="Q1867" s="61"/>
      <c r="R1867" s="61"/>
      <c r="S1867" s="61"/>
      <c r="T1867" s="61"/>
      <c r="U1867" s="61"/>
      <c r="V1867" s="61"/>
      <c r="W1867" s="61"/>
      <c r="X1867" s="61"/>
      <c r="Y1867" s="61"/>
      <c r="Z1867" s="61"/>
    </row>
    <row r="1868" spans="1:26" ht="13">
      <c r="A1868" s="61"/>
      <c r="B1868" s="61"/>
      <c r="C1868" s="61"/>
      <c r="D1868" s="61"/>
      <c r="E1868" s="61"/>
      <c r="F1868" s="61"/>
      <c r="G1868" s="179"/>
      <c r="H1868" s="61"/>
      <c r="I1868" s="61"/>
      <c r="J1868" s="61"/>
      <c r="K1868" s="61"/>
      <c r="L1868" s="61"/>
      <c r="M1868" s="61"/>
      <c r="N1868" s="61"/>
      <c r="O1868" s="61"/>
      <c r="P1868" s="61"/>
      <c r="Q1868" s="61"/>
      <c r="R1868" s="61"/>
      <c r="S1868" s="61"/>
      <c r="T1868" s="61"/>
      <c r="U1868" s="61"/>
      <c r="V1868" s="61"/>
      <c r="W1868" s="61"/>
      <c r="X1868" s="61"/>
      <c r="Y1868" s="61"/>
      <c r="Z1868" s="61"/>
    </row>
    <row r="1869" spans="1:26" ht="13">
      <c r="A1869" s="61"/>
      <c r="B1869" s="61"/>
      <c r="C1869" s="61"/>
      <c r="D1869" s="61"/>
      <c r="E1869" s="61"/>
      <c r="F1869" s="61"/>
      <c r="G1869" s="179"/>
      <c r="H1869" s="61"/>
      <c r="I1869" s="61"/>
      <c r="J1869" s="61"/>
      <c r="K1869" s="61"/>
      <c r="L1869" s="61"/>
      <c r="M1869" s="61"/>
      <c r="N1869" s="61"/>
      <c r="O1869" s="61"/>
      <c r="P1869" s="61"/>
      <c r="Q1869" s="61"/>
      <c r="R1869" s="61"/>
      <c r="S1869" s="61"/>
      <c r="T1869" s="61"/>
      <c r="U1869" s="61"/>
      <c r="V1869" s="61"/>
      <c r="W1869" s="61"/>
      <c r="X1869" s="61"/>
      <c r="Y1869" s="61"/>
      <c r="Z1869" s="61"/>
    </row>
    <row r="1870" spans="1:26" ht="13">
      <c r="A1870" s="61"/>
      <c r="B1870" s="61"/>
      <c r="C1870" s="61"/>
      <c r="D1870" s="61"/>
      <c r="E1870" s="61"/>
      <c r="F1870" s="61"/>
      <c r="G1870" s="179"/>
      <c r="H1870" s="61"/>
      <c r="I1870" s="61"/>
      <c r="J1870" s="61"/>
      <c r="K1870" s="61"/>
      <c r="L1870" s="61"/>
      <c r="M1870" s="61"/>
      <c r="N1870" s="61"/>
      <c r="O1870" s="61"/>
      <c r="P1870" s="61"/>
      <c r="Q1870" s="61"/>
      <c r="R1870" s="61"/>
      <c r="S1870" s="61"/>
      <c r="T1870" s="61"/>
      <c r="U1870" s="61"/>
      <c r="V1870" s="61"/>
      <c r="W1870" s="61"/>
      <c r="X1870" s="61"/>
      <c r="Y1870" s="61"/>
      <c r="Z1870" s="61"/>
    </row>
    <row r="1871" spans="1:26" ht="13">
      <c r="A1871" s="61"/>
      <c r="B1871" s="61"/>
      <c r="C1871" s="61"/>
      <c r="D1871" s="61"/>
      <c r="E1871" s="61"/>
      <c r="F1871" s="61"/>
      <c r="G1871" s="179"/>
      <c r="H1871" s="61"/>
      <c r="I1871" s="61"/>
      <c r="J1871" s="61"/>
      <c r="K1871" s="61"/>
      <c r="L1871" s="61"/>
      <c r="M1871" s="61"/>
      <c r="N1871" s="61"/>
      <c r="O1871" s="61"/>
      <c r="P1871" s="61"/>
      <c r="Q1871" s="61"/>
      <c r="R1871" s="61"/>
      <c r="S1871" s="61"/>
      <c r="T1871" s="61"/>
      <c r="U1871" s="61"/>
      <c r="V1871" s="61"/>
      <c r="W1871" s="61"/>
      <c r="X1871" s="61"/>
      <c r="Y1871" s="61"/>
      <c r="Z1871" s="61"/>
    </row>
    <row r="1872" spans="1:26" ht="13">
      <c r="A1872" s="61"/>
      <c r="B1872" s="61"/>
      <c r="C1872" s="61"/>
      <c r="D1872" s="61"/>
      <c r="E1872" s="61"/>
      <c r="F1872" s="61"/>
      <c r="G1872" s="179"/>
      <c r="H1872" s="61"/>
      <c r="I1872" s="61"/>
      <c r="J1872" s="61"/>
      <c r="K1872" s="61"/>
      <c r="L1872" s="61"/>
      <c r="M1872" s="61"/>
      <c r="N1872" s="61"/>
      <c r="O1872" s="61"/>
      <c r="P1872" s="61"/>
      <c r="Q1872" s="61"/>
      <c r="R1872" s="61"/>
      <c r="S1872" s="61"/>
      <c r="T1872" s="61"/>
      <c r="U1872" s="61"/>
      <c r="V1872" s="61"/>
      <c r="W1872" s="61"/>
      <c r="X1872" s="61"/>
      <c r="Y1872" s="61"/>
      <c r="Z1872" s="61"/>
    </row>
    <row r="1873" spans="1:26" ht="13">
      <c r="A1873" s="61"/>
      <c r="B1873" s="61"/>
      <c r="C1873" s="61"/>
      <c r="D1873" s="61"/>
      <c r="E1873" s="61"/>
      <c r="F1873" s="61"/>
      <c r="G1873" s="179"/>
      <c r="H1873" s="61"/>
      <c r="I1873" s="61"/>
      <c r="J1873" s="61"/>
      <c r="K1873" s="61"/>
      <c r="L1873" s="61"/>
      <c r="M1873" s="61"/>
      <c r="N1873" s="61"/>
      <c r="O1873" s="61"/>
      <c r="P1873" s="61"/>
      <c r="Q1873" s="61"/>
      <c r="R1873" s="61"/>
      <c r="S1873" s="61"/>
      <c r="T1873" s="61"/>
      <c r="U1873" s="61"/>
      <c r="V1873" s="61"/>
      <c r="W1873" s="61"/>
      <c r="X1873" s="61"/>
      <c r="Y1873" s="61"/>
      <c r="Z1873" s="61"/>
    </row>
    <row r="1874" spans="1:26" ht="13">
      <c r="A1874" s="61"/>
      <c r="B1874" s="61"/>
      <c r="C1874" s="61"/>
      <c r="D1874" s="61"/>
      <c r="E1874" s="61"/>
      <c r="F1874" s="61"/>
      <c r="G1874" s="179"/>
      <c r="H1874" s="61"/>
      <c r="I1874" s="61"/>
      <c r="J1874" s="61"/>
      <c r="K1874" s="61"/>
      <c r="L1874" s="61"/>
      <c r="M1874" s="61"/>
      <c r="N1874" s="61"/>
      <c r="O1874" s="61"/>
      <c r="P1874" s="61"/>
      <c r="Q1874" s="61"/>
      <c r="R1874" s="61"/>
      <c r="S1874" s="61"/>
      <c r="T1874" s="61"/>
      <c r="U1874" s="61"/>
      <c r="V1874" s="61"/>
      <c r="W1874" s="61"/>
      <c r="X1874" s="61"/>
      <c r="Y1874" s="61"/>
      <c r="Z1874" s="61"/>
    </row>
    <row r="1875" spans="1:26" ht="13">
      <c r="A1875" s="61"/>
      <c r="B1875" s="61"/>
      <c r="C1875" s="61"/>
      <c r="D1875" s="61"/>
      <c r="E1875" s="61"/>
      <c r="F1875" s="61"/>
      <c r="G1875" s="179"/>
      <c r="H1875" s="61"/>
      <c r="I1875" s="61"/>
      <c r="J1875" s="61"/>
      <c r="K1875" s="61"/>
      <c r="L1875" s="61"/>
      <c r="M1875" s="61"/>
      <c r="N1875" s="61"/>
      <c r="O1875" s="61"/>
      <c r="P1875" s="61"/>
      <c r="Q1875" s="61"/>
      <c r="R1875" s="61"/>
      <c r="S1875" s="61"/>
      <c r="T1875" s="61"/>
      <c r="U1875" s="61"/>
      <c r="V1875" s="61"/>
      <c r="W1875" s="61"/>
      <c r="X1875" s="61"/>
      <c r="Y1875" s="61"/>
      <c r="Z1875" s="61"/>
    </row>
    <row r="1876" spans="1:26" ht="13">
      <c r="A1876" s="61"/>
      <c r="B1876" s="61"/>
      <c r="C1876" s="61"/>
      <c r="D1876" s="61"/>
      <c r="E1876" s="61"/>
      <c r="F1876" s="61"/>
      <c r="G1876" s="179"/>
      <c r="H1876" s="61"/>
      <c r="I1876" s="61"/>
      <c r="J1876" s="61"/>
      <c r="K1876" s="61"/>
      <c r="L1876" s="61"/>
      <c r="M1876" s="61"/>
      <c r="N1876" s="61"/>
      <c r="O1876" s="61"/>
      <c r="P1876" s="61"/>
      <c r="Q1876" s="61"/>
      <c r="R1876" s="61"/>
      <c r="S1876" s="61"/>
      <c r="T1876" s="61"/>
      <c r="U1876" s="61"/>
      <c r="V1876" s="61"/>
      <c r="W1876" s="61"/>
      <c r="X1876" s="61"/>
      <c r="Y1876" s="61"/>
      <c r="Z1876" s="61"/>
    </row>
    <row r="1877" spans="1:26" ht="13">
      <c r="A1877" s="61"/>
      <c r="B1877" s="61"/>
      <c r="C1877" s="61"/>
      <c r="D1877" s="61"/>
      <c r="E1877" s="61"/>
      <c r="F1877" s="61"/>
      <c r="G1877" s="179"/>
      <c r="H1877" s="61"/>
      <c r="I1877" s="61"/>
      <c r="J1877" s="61"/>
      <c r="K1877" s="61"/>
      <c r="L1877" s="61"/>
      <c r="M1877" s="61"/>
      <c r="N1877" s="61"/>
      <c r="O1877" s="61"/>
      <c r="P1877" s="61"/>
      <c r="Q1877" s="61"/>
      <c r="R1877" s="61"/>
      <c r="S1877" s="61"/>
      <c r="T1877" s="61"/>
      <c r="U1877" s="61"/>
      <c r="V1877" s="61"/>
      <c r="W1877" s="61"/>
      <c r="X1877" s="61"/>
      <c r="Y1877" s="61"/>
      <c r="Z1877" s="61"/>
    </row>
    <row r="1878" spans="1:26" ht="13">
      <c r="A1878" s="61"/>
      <c r="B1878" s="61"/>
      <c r="C1878" s="61"/>
      <c r="D1878" s="61"/>
      <c r="E1878" s="61"/>
      <c r="F1878" s="61"/>
      <c r="G1878" s="179"/>
      <c r="H1878" s="61"/>
      <c r="I1878" s="61"/>
      <c r="J1878" s="61"/>
      <c r="K1878" s="61"/>
      <c r="L1878" s="61"/>
      <c r="M1878" s="61"/>
      <c r="N1878" s="61"/>
      <c r="O1878" s="61"/>
      <c r="P1878" s="61"/>
      <c r="Q1878" s="61"/>
      <c r="R1878" s="61"/>
      <c r="S1878" s="61"/>
      <c r="T1878" s="61"/>
      <c r="U1878" s="61"/>
      <c r="V1878" s="61"/>
      <c r="W1878" s="61"/>
      <c r="X1878" s="61"/>
      <c r="Y1878" s="61"/>
      <c r="Z1878" s="61"/>
    </row>
    <row r="1879" spans="1:26" ht="13">
      <c r="A1879" s="61"/>
      <c r="B1879" s="61"/>
      <c r="C1879" s="61"/>
      <c r="D1879" s="61"/>
      <c r="E1879" s="61"/>
      <c r="F1879" s="61"/>
      <c r="G1879" s="179"/>
      <c r="H1879" s="61"/>
      <c r="I1879" s="61"/>
      <c r="J1879" s="61"/>
      <c r="K1879" s="61"/>
      <c r="L1879" s="61"/>
      <c r="M1879" s="61"/>
      <c r="N1879" s="61"/>
      <c r="O1879" s="61"/>
      <c r="P1879" s="61"/>
      <c r="Q1879" s="61"/>
      <c r="R1879" s="61"/>
      <c r="S1879" s="61"/>
      <c r="T1879" s="61"/>
      <c r="U1879" s="61"/>
      <c r="V1879" s="61"/>
      <c r="W1879" s="61"/>
      <c r="X1879" s="61"/>
      <c r="Y1879" s="61"/>
      <c r="Z1879" s="61"/>
    </row>
    <row r="1880" spans="1:26" ht="13">
      <c r="A1880" s="61"/>
      <c r="B1880" s="61"/>
      <c r="C1880" s="61"/>
      <c r="D1880" s="61"/>
      <c r="E1880" s="61"/>
      <c r="F1880" s="61"/>
      <c r="G1880" s="179"/>
      <c r="H1880" s="61"/>
      <c r="I1880" s="61"/>
      <c r="J1880" s="61"/>
      <c r="K1880" s="61"/>
      <c r="L1880" s="61"/>
      <c r="M1880" s="61"/>
      <c r="N1880" s="61"/>
      <c r="O1880" s="61"/>
      <c r="P1880" s="61"/>
      <c r="Q1880" s="61"/>
      <c r="R1880" s="61"/>
      <c r="S1880" s="61"/>
      <c r="T1880" s="61"/>
      <c r="U1880" s="61"/>
      <c r="V1880" s="61"/>
      <c r="W1880" s="61"/>
      <c r="X1880" s="61"/>
      <c r="Y1880" s="61"/>
      <c r="Z1880" s="61"/>
    </row>
    <row r="1881" spans="1:26" ht="13">
      <c r="A1881" s="61"/>
      <c r="B1881" s="61"/>
      <c r="C1881" s="61"/>
      <c r="D1881" s="61"/>
      <c r="E1881" s="61"/>
      <c r="F1881" s="61"/>
      <c r="G1881" s="179"/>
      <c r="H1881" s="61"/>
      <c r="I1881" s="61"/>
      <c r="J1881" s="61"/>
      <c r="K1881" s="61"/>
      <c r="L1881" s="61"/>
      <c r="M1881" s="61"/>
      <c r="N1881" s="61"/>
      <c r="O1881" s="61"/>
      <c r="P1881" s="61"/>
      <c r="Q1881" s="61"/>
      <c r="R1881" s="61"/>
      <c r="S1881" s="61"/>
      <c r="T1881" s="61"/>
      <c r="U1881" s="61"/>
      <c r="V1881" s="61"/>
      <c r="W1881" s="61"/>
      <c r="X1881" s="61"/>
      <c r="Y1881" s="61"/>
      <c r="Z1881" s="61"/>
    </row>
    <row r="1882" spans="1:26" ht="13">
      <c r="A1882" s="61"/>
      <c r="B1882" s="61"/>
      <c r="C1882" s="61"/>
      <c r="D1882" s="61"/>
      <c r="E1882" s="61"/>
      <c r="F1882" s="61"/>
      <c r="G1882" s="179"/>
      <c r="H1882" s="61"/>
      <c r="I1882" s="61"/>
      <c r="J1882" s="61"/>
      <c r="K1882" s="61"/>
      <c r="L1882" s="61"/>
      <c r="M1882" s="61"/>
      <c r="N1882" s="61"/>
      <c r="O1882" s="61"/>
      <c r="P1882" s="61"/>
      <c r="Q1882" s="61"/>
      <c r="R1882" s="61"/>
      <c r="S1882" s="61"/>
      <c r="T1882" s="61"/>
      <c r="U1882" s="61"/>
      <c r="V1882" s="61"/>
      <c r="W1882" s="61"/>
      <c r="X1882" s="61"/>
      <c r="Y1882" s="61"/>
      <c r="Z1882" s="61"/>
    </row>
    <row r="1883" spans="1:26" ht="13">
      <c r="A1883" s="61"/>
      <c r="B1883" s="61"/>
      <c r="C1883" s="61"/>
      <c r="D1883" s="61"/>
      <c r="E1883" s="61"/>
      <c r="F1883" s="61"/>
      <c r="G1883" s="179"/>
      <c r="H1883" s="61"/>
      <c r="I1883" s="61"/>
      <c r="J1883" s="61"/>
      <c r="K1883" s="61"/>
      <c r="L1883" s="61"/>
      <c r="M1883" s="61"/>
      <c r="N1883" s="61"/>
      <c r="O1883" s="61"/>
      <c r="P1883" s="61"/>
      <c r="Q1883" s="61"/>
      <c r="R1883" s="61"/>
      <c r="S1883" s="61"/>
      <c r="T1883" s="61"/>
      <c r="U1883" s="61"/>
      <c r="V1883" s="61"/>
      <c r="W1883" s="61"/>
      <c r="X1883" s="61"/>
      <c r="Y1883" s="61"/>
      <c r="Z1883" s="61"/>
    </row>
    <row r="1884" spans="1:26" ht="13">
      <c r="A1884" s="61"/>
      <c r="B1884" s="61"/>
      <c r="C1884" s="61"/>
      <c r="D1884" s="61"/>
      <c r="E1884" s="61"/>
      <c r="F1884" s="61"/>
      <c r="G1884" s="179"/>
      <c r="H1884" s="61"/>
      <c r="I1884" s="61"/>
      <c r="J1884" s="61"/>
      <c r="K1884" s="61"/>
      <c r="L1884" s="61"/>
      <c r="M1884" s="61"/>
      <c r="N1884" s="61"/>
      <c r="O1884" s="61"/>
      <c r="P1884" s="61"/>
      <c r="Q1884" s="61"/>
      <c r="R1884" s="61"/>
      <c r="S1884" s="61"/>
      <c r="T1884" s="61"/>
      <c r="U1884" s="61"/>
      <c r="V1884" s="61"/>
      <c r="W1884" s="61"/>
      <c r="X1884" s="61"/>
      <c r="Y1884" s="61"/>
      <c r="Z1884" s="61"/>
    </row>
    <row r="1885" spans="1:26" ht="13">
      <c r="A1885" s="61"/>
      <c r="B1885" s="61"/>
      <c r="C1885" s="61"/>
      <c r="D1885" s="61"/>
      <c r="E1885" s="61"/>
      <c r="F1885" s="61"/>
      <c r="G1885" s="179"/>
      <c r="H1885" s="61"/>
      <c r="I1885" s="61"/>
      <c r="J1885" s="61"/>
      <c r="K1885" s="61"/>
      <c r="L1885" s="61"/>
      <c r="M1885" s="61"/>
      <c r="N1885" s="61"/>
      <c r="O1885" s="61"/>
      <c r="P1885" s="61"/>
      <c r="Q1885" s="61"/>
      <c r="R1885" s="61"/>
      <c r="S1885" s="61"/>
      <c r="T1885" s="61"/>
      <c r="U1885" s="61"/>
      <c r="V1885" s="61"/>
      <c r="W1885" s="61"/>
      <c r="X1885" s="61"/>
      <c r="Y1885" s="61"/>
      <c r="Z1885" s="61"/>
    </row>
    <row r="1886" spans="1:26" ht="13">
      <c r="A1886" s="61"/>
      <c r="B1886" s="61"/>
      <c r="C1886" s="61"/>
      <c r="D1886" s="61"/>
      <c r="E1886" s="61"/>
      <c r="F1886" s="61"/>
      <c r="G1886" s="179"/>
      <c r="H1886" s="61"/>
      <c r="I1886" s="61"/>
      <c r="J1886" s="61"/>
      <c r="K1886" s="61"/>
      <c r="L1886" s="61"/>
      <c r="M1886" s="61"/>
      <c r="N1886" s="61"/>
      <c r="O1886" s="61"/>
      <c r="P1886" s="61"/>
      <c r="Q1886" s="61"/>
      <c r="R1886" s="61"/>
      <c r="S1886" s="61"/>
      <c r="T1886" s="61"/>
      <c r="U1886" s="61"/>
      <c r="V1886" s="61"/>
      <c r="W1886" s="61"/>
      <c r="X1886" s="61"/>
      <c r="Y1886" s="61"/>
      <c r="Z1886" s="61"/>
    </row>
    <row r="1887" spans="1:26" ht="13">
      <c r="A1887" s="61"/>
      <c r="B1887" s="61"/>
      <c r="C1887" s="61"/>
      <c r="D1887" s="61"/>
      <c r="E1887" s="61"/>
      <c r="F1887" s="61"/>
      <c r="G1887" s="179"/>
      <c r="H1887" s="61"/>
      <c r="I1887" s="61"/>
      <c r="J1887" s="61"/>
      <c r="K1887" s="61"/>
      <c r="L1887" s="61"/>
      <c r="M1887" s="61"/>
      <c r="N1887" s="61"/>
      <c r="O1887" s="61"/>
      <c r="P1887" s="61"/>
      <c r="Q1887" s="61"/>
      <c r="R1887" s="61"/>
      <c r="S1887" s="61"/>
      <c r="T1887" s="61"/>
      <c r="U1887" s="61"/>
      <c r="V1887" s="61"/>
      <c r="W1887" s="61"/>
      <c r="X1887" s="61"/>
      <c r="Y1887" s="61"/>
      <c r="Z1887" s="61"/>
    </row>
    <row r="1888" spans="1:26" ht="13">
      <c r="A1888" s="61"/>
      <c r="B1888" s="61"/>
      <c r="C1888" s="61"/>
      <c r="D1888" s="61"/>
      <c r="E1888" s="61"/>
      <c r="F1888" s="61"/>
      <c r="G1888" s="179"/>
      <c r="H1888" s="61"/>
      <c r="I1888" s="61"/>
      <c r="J1888" s="61"/>
      <c r="K1888" s="61"/>
      <c r="L1888" s="61"/>
      <c r="M1888" s="61"/>
      <c r="N1888" s="61"/>
      <c r="O1888" s="61"/>
      <c r="P1888" s="61"/>
      <c r="Q1888" s="61"/>
      <c r="R1888" s="61"/>
      <c r="S1888" s="61"/>
      <c r="T1888" s="61"/>
      <c r="U1888" s="61"/>
      <c r="V1888" s="61"/>
      <c r="W1888" s="61"/>
      <c r="X1888" s="61"/>
      <c r="Y1888" s="61"/>
      <c r="Z1888" s="61"/>
    </row>
    <row r="1889" spans="1:26" ht="13">
      <c r="A1889" s="61"/>
      <c r="B1889" s="61"/>
      <c r="C1889" s="61"/>
      <c r="D1889" s="61"/>
      <c r="E1889" s="61"/>
      <c r="F1889" s="61"/>
      <c r="G1889" s="179"/>
      <c r="H1889" s="61"/>
      <c r="I1889" s="61"/>
      <c r="J1889" s="61"/>
      <c r="K1889" s="61"/>
      <c r="L1889" s="61"/>
      <c r="M1889" s="61"/>
      <c r="N1889" s="61"/>
      <c r="O1889" s="61"/>
      <c r="P1889" s="61"/>
      <c r="Q1889" s="61"/>
      <c r="R1889" s="61"/>
      <c r="S1889" s="61"/>
      <c r="T1889" s="61"/>
      <c r="U1889" s="61"/>
      <c r="V1889" s="61"/>
      <c r="W1889" s="61"/>
      <c r="X1889" s="61"/>
      <c r="Y1889" s="61"/>
      <c r="Z1889" s="61"/>
    </row>
    <row r="1890" spans="1:26" ht="13">
      <c r="A1890" s="61"/>
      <c r="B1890" s="61"/>
      <c r="C1890" s="61"/>
      <c r="D1890" s="61"/>
      <c r="E1890" s="61"/>
      <c r="F1890" s="61"/>
      <c r="G1890" s="179"/>
      <c r="H1890" s="61"/>
      <c r="I1890" s="61"/>
      <c r="J1890" s="61"/>
      <c r="K1890" s="61"/>
      <c r="L1890" s="61"/>
      <c r="M1890" s="61"/>
      <c r="N1890" s="61"/>
      <c r="O1890" s="61"/>
      <c r="P1890" s="61"/>
      <c r="Q1890" s="61"/>
      <c r="R1890" s="61"/>
      <c r="S1890" s="61"/>
      <c r="T1890" s="61"/>
      <c r="U1890" s="61"/>
      <c r="V1890" s="61"/>
      <c r="W1890" s="61"/>
      <c r="X1890" s="61"/>
      <c r="Y1890" s="61"/>
      <c r="Z1890" s="61"/>
    </row>
    <row r="1891" spans="1:26" ht="13">
      <c r="A1891" s="61"/>
      <c r="B1891" s="61"/>
      <c r="C1891" s="61"/>
      <c r="D1891" s="61"/>
      <c r="E1891" s="61"/>
      <c r="F1891" s="61"/>
      <c r="G1891" s="179"/>
      <c r="H1891" s="61"/>
      <c r="I1891" s="61"/>
      <c r="J1891" s="61"/>
      <c r="K1891" s="61"/>
      <c r="L1891" s="61"/>
      <c r="M1891" s="61"/>
      <c r="N1891" s="61"/>
      <c r="O1891" s="61"/>
      <c r="P1891" s="61"/>
      <c r="Q1891" s="61"/>
      <c r="R1891" s="61"/>
      <c r="S1891" s="61"/>
      <c r="T1891" s="61"/>
      <c r="U1891" s="61"/>
      <c r="V1891" s="61"/>
      <c r="W1891" s="61"/>
      <c r="X1891" s="61"/>
      <c r="Y1891" s="61"/>
      <c r="Z1891" s="61"/>
    </row>
    <row r="1892" spans="1:26" ht="13">
      <c r="A1892" s="61"/>
      <c r="B1892" s="61"/>
      <c r="C1892" s="61"/>
      <c r="D1892" s="61"/>
      <c r="E1892" s="61"/>
      <c r="F1892" s="61"/>
      <c r="G1892" s="179"/>
      <c r="H1892" s="61"/>
      <c r="I1892" s="61"/>
      <c r="J1892" s="61"/>
      <c r="K1892" s="61"/>
      <c r="L1892" s="61"/>
      <c r="M1892" s="61"/>
      <c r="N1892" s="61"/>
      <c r="O1892" s="61"/>
      <c r="P1892" s="61"/>
      <c r="Q1892" s="61"/>
      <c r="R1892" s="61"/>
      <c r="S1892" s="61"/>
      <c r="T1892" s="61"/>
      <c r="U1892" s="61"/>
      <c r="V1892" s="61"/>
      <c r="W1892" s="61"/>
      <c r="X1892" s="61"/>
      <c r="Y1892" s="61"/>
      <c r="Z1892" s="61"/>
    </row>
    <row r="1893" spans="1:26" ht="13">
      <c r="A1893" s="61"/>
      <c r="B1893" s="61"/>
      <c r="C1893" s="61"/>
      <c r="D1893" s="61"/>
      <c r="E1893" s="61"/>
      <c r="F1893" s="61"/>
      <c r="G1893" s="179"/>
      <c r="H1893" s="61"/>
      <c r="I1893" s="61"/>
      <c r="J1893" s="61"/>
      <c r="K1893" s="61"/>
      <c r="L1893" s="61"/>
      <c r="M1893" s="61"/>
      <c r="N1893" s="61"/>
      <c r="O1893" s="61"/>
      <c r="P1893" s="61"/>
      <c r="Q1893" s="61"/>
      <c r="R1893" s="61"/>
      <c r="S1893" s="61"/>
      <c r="T1893" s="61"/>
      <c r="U1893" s="61"/>
      <c r="V1893" s="61"/>
      <c r="W1893" s="61"/>
      <c r="X1893" s="61"/>
      <c r="Y1893" s="61"/>
      <c r="Z1893" s="61"/>
    </row>
    <row r="1894" spans="1:26" ht="13">
      <c r="A1894" s="61"/>
      <c r="B1894" s="61"/>
      <c r="C1894" s="61"/>
      <c r="D1894" s="61"/>
      <c r="E1894" s="61"/>
      <c r="F1894" s="61"/>
      <c r="G1894" s="179"/>
      <c r="H1894" s="61"/>
      <c r="I1894" s="61"/>
      <c r="J1894" s="61"/>
      <c r="K1894" s="61"/>
      <c r="L1894" s="61"/>
      <c r="M1894" s="61"/>
      <c r="N1894" s="61"/>
      <c r="O1894" s="61"/>
      <c r="P1894" s="61"/>
      <c r="Q1894" s="61"/>
      <c r="R1894" s="61"/>
      <c r="S1894" s="61"/>
      <c r="T1894" s="61"/>
      <c r="U1894" s="61"/>
      <c r="V1894" s="61"/>
      <c r="W1894" s="61"/>
      <c r="X1894" s="61"/>
      <c r="Y1894" s="61"/>
      <c r="Z1894" s="61"/>
    </row>
    <row r="1895" spans="1:26" ht="13">
      <c r="A1895" s="61"/>
      <c r="B1895" s="61"/>
      <c r="C1895" s="61"/>
      <c r="D1895" s="61"/>
      <c r="E1895" s="61"/>
      <c r="F1895" s="61"/>
      <c r="G1895" s="179"/>
      <c r="H1895" s="61"/>
      <c r="I1895" s="61"/>
      <c r="J1895" s="61"/>
      <c r="K1895" s="61"/>
      <c r="L1895" s="61"/>
      <c r="M1895" s="61"/>
      <c r="N1895" s="61"/>
      <c r="O1895" s="61"/>
      <c r="P1895" s="61"/>
      <c r="Q1895" s="61"/>
      <c r="R1895" s="61"/>
      <c r="S1895" s="61"/>
      <c r="T1895" s="61"/>
      <c r="U1895" s="61"/>
      <c r="V1895" s="61"/>
      <c r="W1895" s="61"/>
      <c r="X1895" s="61"/>
      <c r="Y1895" s="61"/>
      <c r="Z1895" s="61"/>
    </row>
    <row r="1896" spans="1:26" ht="13">
      <c r="A1896" s="61"/>
      <c r="B1896" s="61"/>
      <c r="C1896" s="61"/>
      <c r="D1896" s="61"/>
      <c r="E1896" s="61"/>
      <c r="F1896" s="61"/>
      <c r="G1896" s="179"/>
      <c r="H1896" s="61"/>
      <c r="I1896" s="61"/>
      <c r="J1896" s="61"/>
      <c r="K1896" s="61"/>
      <c r="L1896" s="61"/>
      <c r="M1896" s="61"/>
      <c r="N1896" s="61"/>
      <c r="O1896" s="61"/>
      <c r="P1896" s="61"/>
      <c r="Q1896" s="61"/>
      <c r="R1896" s="61"/>
      <c r="S1896" s="61"/>
      <c r="T1896" s="61"/>
      <c r="U1896" s="61"/>
      <c r="V1896" s="61"/>
      <c r="W1896" s="61"/>
      <c r="X1896" s="61"/>
      <c r="Y1896" s="61"/>
      <c r="Z1896" s="61"/>
    </row>
    <row r="1897" spans="1:26" ht="13">
      <c r="A1897" s="61"/>
      <c r="B1897" s="61"/>
      <c r="C1897" s="61"/>
      <c r="D1897" s="61"/>
      <c r="E1897" s="61"/>
      <c r="F1897" s="61"/>
      <c r="G1897" s="179"/>
      <c r="H1897" s="61"/>
      <c r="I1897" s="61"/>
      <c r="J1897" s="61"/>
      <c r="K1897" s="61"/>
      <c r="L1897" s="61"/>
      <c r="M1897" s="61"/>
      <c r="N1897" s="61"/>
      <c r="O1897" s="61"/>
      <c r="P1897" s="61"/>
      <c r="Q1897" s="61"/>
      <c r="R1897" s="61"/>
      <c r="S1897" s="61"/>
      <c r="T1897" s="61"/>
      <c r="U1897" s="61"/>
      <c r="V1897" s="61"/>
      <c r="W1897" s="61"/>
      <c r="X1897" s="61"/>
      <c r="Y1897" s="61"/>
      <c r="Z1897" s="61"/>
    </row>
    <row r="1898" spans="1:26" ht="13">
      <c r="A1898" s="61"/>
      <c r="B1898" s="61"/>
      <c r="C1898" s="61"/>
      <c r="D1898" s="61"/>
      <c r="E1898" s="61"/>
      <c r="F1898" s="61"/>
      <c r="G1898" s="179"/>
      <c r="H1898" s="61"/>
      <c r="I1898" s="61"/>
      <c r="J1898" s="61"/>
      <c r="K1898" s="61"/>
      <c r="L1898" s="61"/>
      <c r="M1898" s="61"/>
      <c r="N1898" s="61"/>
      <c r="O1898" s="61"/>
      <c r="P1898" s="61"/>
      <c r="Q1898" s="61"/>
      <c r="R1898" s="61"/>
      <c r="S1898" s="61"/>
      <c r="T1898" s="61"/>
      <c r="U1898" s="61"/>
      <c r="V1898" s="61"/>
      <c r="W1898" s="61"/>
      <c r="X1898" s="61"/>
      <c r="Y1898" s="61"/>
      <c r="Z1898" s="61"/>
    </row>
    <row r="1899" spans="1:26" ht="13">
      <c r="A1899" s="61"/>
      <c r="B1899" s="61"/>
      <c r="C1899" s="61"/>
      <c r="D1899" s="61"/>
      <c r="E1899" s="61"/>
      <c r="F1899" s="61"/>
      <c r="G1899" s="179"/>
      <c r="H1899" s="61"/>
      <c r="I1899" s="61"/>
      <c r="J1899" s="61"/>
      <c r="K1899" s="61"/>
      <c r="L1899" s="61"/>
      <c r="M1899" s="61"/>
      <c r="N1899" s="61"/>
      <c r="O1899" s="61"/>
      <c r="P1899" s="61"/>
      <c r="Q1899" s="61"/>
      <c r="R1899" s="61"/>
      <c r="S1899" s="61"/>
      <c r="T1899" s="61"/>
      <c r="U1899" s="61"/>
      <c r="V1899" s="61"/>
      <c r="W1899" s="61"/>
      <c r="X1899" s="61"/>
      <c r="Y1899" s="61"/>
      <c r="Z1899" s="61"/>
    </row>
    <row r="1900" spans="1:26" ht="13">
      <c r="A1900" s="61"/>
      <c r="B1900" s="61"/>
      <c r="C1900" s="61"/>
      <c r="D1900" s="61"/>
      <c r="E1900" s="61"/>
      <c r="F1900" s="61"/>
      <c r="G1900" s="179"/>
      <c r="H1900" s="61"/>
      <c r="I1900" s="61"/>
      <c r="J1900" s="61"/>
      <c r="K1900" s="61"/>
      <c r="L1900" s="61"/>
      <c r="M1900" s="61"/>
      <c r="N1900" s="61"/>
      <c r="O1900" s="61"/>
      <c r="P1900" s="61"/>
      <c r="Q1900" s="61"/>
      <c r="R1900" s="61"/>
      <c r="S1900" s="61"/>
      <c r="T1900" s="61"/>
      <c r="U1900" s="61"/>
      <c r="V1900" s="61"/>
      <c r="W1900" s="61"/>
      <c r="X1900" s="61"/>
      <c r="Y1900" s="61"/>
      <c r="Z1900" s="61"/>
    </row>
    <row r="1901" spans="1:26" ht="13">
      <c r="A1901" s="61"/>
      <c r="B1901" s="61"/>
      <c r="C1901" s="61"/>
      <c r="D1901" s="61"/>
      <c r="E1901" s="61"/>
      <c r="F1901" s="61"/>
      <c r="G1901" s="179"/>
      <c r="H1901" s="61"/>
      <c r="I1901" s="61"/>
      <c r="J1901" s="61"/>
      <c r="K1901" s="61"/>
      <c r="L1901" s="61"/>
      <c r="M1901" s="61"/>
      <c r="N1901" s="61"/>
      <c r="O1901" s="61"/>
      <c r="P1901" s="61"/>
      <c r="Q1901" s="61"/>
      <c r="R1901" s="61"/>
      <c r="S1901" s="61"/>
      <c r="T1901" s="61"/>
      <c r="U1901" s="61"/>
      <c r="V1901" s="61"/>
      <c r="W1901" s="61"/>
      <c r="X1901" s="61"/>
      <c r="Y1901" s="61"/>
      <c r="Z1901" s="61"/>
    </row>
    <row r="1902" spans="1:26" ht="13">
      <c r="A1902" s="61"/>
      <c r="B1902" s="61"/>
      <c r="C1902" s="61"/>
      <c r="D1902" s="61"/>
      <c r="E1902" s="61"/>
      <c r="F1902" s="61"/>
      <c r="G1902" s="179"/>
      <c r="H1902" s="61"/>
      <c r="I1902" s="61"/>
      <c r="J1902" s="61"/>
      <c r="K1902" s="61"/>
      <c r="L1902" s="61"/>
      <c r="M1902" s="61"/>
      <c r="N1902" s="61"/>
      <c r="O1902" s="61"/>
      <c r="P1902" s="61"/>
      <c r="Q1902" s="61"/>
      <c r="R1902" s="61"/>
      <c r="S1902" s="61"/>
      <c r="T1902" s="61"/>
      <c r="U1902" s="61"/>
      <c r="V1902" s="61"/>
      <c r="W1902" s="61"/>
      <c r="X1902" s="61"/>
      <c r="Y1902" s="61"/>
      <c r="Z1902" s="61"/>
    </row>
    <row r="1903" spans="1:26" ht="13">
      <c r="A1903" s="61"/>
      <c r="B1903" s="61"/>
      <c r="C1903" s="61"/>
      <c r="D1903" s="61"/>
      <c r="E1903" s="61"/>
      <c r="F1903" s="61"/>
      <c r="G1903" s="179"/>
      <c r="H1903" s="61"/>
      <c r="I1903" s="61"/>
      <c r="J1903" s="61"/>
      <c r="K1903" s="61"/>
      <c r="L1903" s="61"/>
      <c r="M1903" s="61"/>
      <c r="N1903" s="61"/>
      <c r="O1903" s="61"/>
      <c r="P1903" s="61"/>
      <c r="Q1903" s="61"/>
      <c r="R1903" s="61"/>
      <c r="S1903" s="61"/>
      <c r="T1903" s="61"/>
      <c r="U1903" s="61"/>
      <c r="V1903" s="61"/>
      <c r="W1903" s="61"/>
      <c r="X1903" s="61"/>
      <c r="Y1903" s="61"/>
      <c r="Z1903" s="61"/>
    </row>
    <row r="1904" spans="1:26" ht="13">
      <c r="A1904" s="61"/>
      <c r="B1904" s="61"/>
      <c r="C1904" s="61"/>
      <c r="D1904" s="61"/>
      <c r="E1904" s="61"/>
      <c r="F1904" s="61"/>
      <c r="G1904" s="179"/>
      <c r="H1904" s="61"/>
      <c r="I1904" s="61"/>
      <c r="J1904" s="61"/>
      <c r="K1904" s="61"/>
      <c r="L1904" s="61"/>
      <c r="M1904" s="61"/>
      <c r="N1904" s="61"/>
      <c r="O1904" s="61"/>
      <c r="P1904" s="61"/>
      <c r="Q1904" s="61"/>
      <c r="R1904" s="61"/>
      <c r="S1904" s="61"/>
      <c r="T1904" s="61"/>
      <c r="U1904" s="61"/>
      <c r="V1904" s="61"/>
      <c r="W1904" s="61"/>
      <c r="X1904" s="61"/>
      <c r="Y1904" s="61"/>
      <c r="Z1904" s="61"/>
    </row>
    <row r="1905" spans="1:26" ht="13">
      <c r="A1905" s="61"/>
      <c r="B1905" s="61"/>
      <c r="C1905" s="61"/>
      <c r="D1905" s="61"/>
      <c r="E1905" s="61"/>
      <c r="F1905" s="61"/>
      <c r="G1905" s="179"/>
      <c r="H1905" s="61"/>
      <c r="I1905" s="61"/>
      <c r="J1905" s="61"/>
      <c r="K1905" s="61"/>
      <c r="L1905" s="61"/>
      <c r="M1905" s="61"/>
      <c r="N1905" s="61"/>
      <c r="O1905" s="61"/>
      <c r="P1905" s="61"/>
      <c r="Q1905" s="61"/>
      <c r="R1905" s="61"/>
      <c r="S1905" s="61"/>
      <c r="T1905" s="61"/>
      <c r="U1905" s="61"/>
      <c r="V1905" s="61"/>
      <c r="W1905" s="61"/>
      <c r="X1905" s="61"/>
      <c r="Y1905" s="61"/>
      <c r="Z1905" s="61"/>
    </row>
    <row r="1906" spans="1:26" ht="13">
      <c r="A1906" s="61"/>
      <c r="B1906" s="61"/>
      <c r="C1906" s="61"/>
      <c r="D1906" s="61"/>
      <c r="E1906" s="61"/>
      <c r="F1906" s="61"/>
      <c r="G1906" s="179"/>
      <c r="H1906" s="61"/>
      <c r="I1906" s="61"/>
      <c r="J1906" s="61"/>
      <c r="K1906" s="61"/>
      <c r="L1906" s="61"/>
      <c r="M1906" s="61"/>
      <c r="N1906" s="61"/>
      <c r="O1906" s="61"/>
      <c r="P1906" s="61"/>
      <c r="Q1906" s="61"/>
      <c r="R1906" s="61"/>
      <c r="S1906" s="61"/>
      <c r="T1906" s="61"/>
      <c r="U1906" s="61"/>
      <c r="V1906" s="61"/>
      <c r="W1906" s="61"/>
      <c r="X1906" s="61"/>
      <c r="Y1906" s="61"/>
      <c r="Z1906" s="61"/>
    </row>
    <row r="1907" spans="1:26" ht="13">
      <c r="A1907" s="61"/>
      <c r="B1907" s="61"/>
      <c r="C1907" s="61"/>
      <c r="D1907" s="61"/>
      <c r="E1907" s="61"/>
      <c r="F1907" s="61"/>
      <c r="G1907" s="179"/>
      <c r="H1907" s="61"/>
      <c r="I1907" s="61"/>
      <c r="J1907" s="61"/>
      <c r="K1907" s="61"/>
      <c r="L1907" s="61"/>
      <c r="M1907" s="61"/>
      <c r="N1907" s="61"/>
      <c r="O1907" s="61"/>
      <c r="P1907" s="61"/>
      <c r="Q1907" s="61"/>
      <c r="R1907" s="61"/>
      <c r="S1907" s="61"/>
      <c r="T1907" s="61"/>
      <c r="U1907" s="61"/>
      <c r="V1907" s="61"/>
      <c r="W1907" s="61"/>
      <c r="X1907" s="61"/>
      <c r="Y1907" s="61"/>
      <c r="Z1907" s="61"/>
    </row>
    <row r="1908" spans="1:26" ht="13">
      <c r="A1908" s="61"/>
      <c r="B1908" s="61"/>
      <c r="C1908" s="61"/>
      <c r="D1908" s="61"/>
      <c r="E1908" s="61"/>
      <c r="F1908" s="61"/>
      <c r="G1908" s="179"/>
      <c r="H1908" s="61"/>
      <c r="I1908" s="61"/>
      <c r="J1908" s="61"/>
      <c r="K1908" s="61"/>
      <c r="L1908" s="61"/>
      <c r="M1908" s="61"/>
      <c r="N1908" s="61"/>
      <c r="O1908" s="61"/>
      <c r="P1908" s="61"/>
      <c r="Q1908" s="61"/>
      <c r="R1908" s="61"/>
      <c r="S1908" s="61"/>
      <c r="T1908" s="61"/>
      <c r="U1908" s="61"/>
      <c r="V1908" s="61"/>
      <c r="W1908" s="61"/>
      <c r="X1908" s="61"/>
      <c r="Y1908" s="61"/>
      <c r="Z1908" s="61"/>
    </row>
    <row r="1909" spans="1:26" ht="13">
      <c r="A1909" s="61"/>
      <c r="B1909" s="61"/>
      <c r="C1909" s="61"/>
      <c r="D1909" s="61"/>
      <c r="E1909" s="61"/>
      <c r="F1909" s="61"/>
      <c r="G1909" s="179"/>
      <c r="H1909" s="61"/>
      <c r="I1909" s="61"/>
      <c r="J1909" s="61"/>
      <c r="K1909" s="61"/>
      <c r="L1909" s="61"/>
      <c r="M1909" s="61"/>
      <c r="N1909" s="61"/>
      <c r="O1909" s="61"/>
      <c r="P1909" s="61"/>
      <c r="Q1909" s="61"/>
      <c r="R1909" s="61"/>
      <c r="S1909" s="61"/>
      <c r="T1909" s="61"/>
      <c r="U1909" s="61"/>
      <c r="V1909" s="61"/>
      <c r="W1909" s="61"/>
      <c r="X1909" s="61"/>
      <c r="Y1909" s="61"/>
      <c r="Z1909" s="61"/>
    </row>
    <row r="1910" spans="1:26" ht="13">
      <c r="A1910" s="61"/>
      <c r="B1910" s="61"/>
      <c r="C1910" s="61"/>
      <c r="D1910" s="61"/>
      <c r="E1910" s="61"/>
      <c r="F1910" s="61"/>
      <c r="G1910" s="179"/>
      <c r="H1910" s="61"/>
      <c r="I1910" s="61"/>
      <c r="J1910" s="61"/>
      <c r="K1910" s="61"/>
      <c r="L1910" s="61"/>
      <c r="M1910" s="61"/>
      <c r="N1910" s="61"/>
      <c r="O1910" s="61"/>
      <c r="P1910" s="61"/>
      <c r="Q1910" s="61"/>
      <c r="R1910" s="61"/>
      <c r="S1910" s="61"/>
      <c r="T1910" s="61"/>
      <c r="U1910" s="61"/>
      <c r="V1910" s="61"/>
      <c r="W1910" s="61"/>
      <c r="X1910" s="61"/>
      <c r="Y1910" s="61"/>
      <c r="Z1910" s="61"/>
    </row>
    <row r="1911" spans="1:26" ht="13">
      <c r="A1911" s="61"/>
      <c r="B1911" s="61"/>
      <c r="C1911" s="61"/>
      <c r="D1911" s="61"/>
      <c r="E1911" s="61"/>
      <c r="F1911" s="61"/>
      <c r="G1911" s="179"/>
      <c r="H1911" s="61"/>
      <c r="I1911" s="61"/>
      <c r="J1911" s="61"/>
      <c r="K1911" s="61"/>
      <c r="L1911" s="61"/>
      <c r="M1911" s="61"/>
      <c r="N1911" s="61"/>
      <c r="O1911" s="61"/>
      <c r="P1911" s="61"/>
      <c r="Q1911" s="61"/>
      <c r="R1911" s="61"/>
      <c r="S1911" s="61"/>
      <c r="T1911" s="61"/>
      <c r="U1911" s="61"/>
      <c r="V1911" s="61"/>
      <c r="W1911" s="61"/>
      <c r="X1911" s="61"/>
      <c r="Y1911" s="61"/>
      <c r="Z1911" s="61"/>
    </row>
    <row r="1912" spans="1:26" ht="13">
      <c r="A1912" s="61"/>
      <c r="B1912" s="61"/>
      <c r="C1912" s="61"/>
      <c r="D1912" s="61"/>
      <c r="E1912" s="61"/>
      <c r="F1912" s="61"/>
      <c r="G1912" s="179"/>
      <c r="H1912" s="61"/>
      <c r="I1912" s="61"/>
      <c r="J1912" s="61"/>
      <c r="K1912" s="61"/>
      <c r="L1912" s="61"/>
      <c r="M1912" s="61"/>
      <c r="N1912" s="61"/>
      <c r="O1912" s="61"/>
      <c r="P1912" s="61"/>
      <c r="Q1912" s="61"/>
      <c r="R1912" s="61"/>
      <c r="S1912" s="61"/>
      <c r="T1912" s="61"/>
      <c r="U1912" s="61"/>
      <c r="V1912" s="61"/>
      <c r="W1912" s="61"/>
      <c r="X1912" s="61"/>
      <c r="Y1912" s="61"/>
      <c r="Z1912" s="61"/>
    </row>
    <row r="1913" spans="1:26" ht="13">
      <c r="A1913" s="61"/>
      <c r="B1913" s="61"/>
      <c r="C1913" s="61"/>
      <c r="D1913" s="61"/>
      <c r="E1913" s="61"/>
      <c r="F1913" s="61"/>
      <c r="G1913" s="179"/>
      <c r="H1913" s="61"/>
      <c r="I1913" s="61"/>
      <c r="J1913" s="61"/>
      <c r="K1913" s="61"/>
      <c r="L1913" s="61"/>
      <c r="M1913" s="61"/>
      <c r="N1913" s="61"/>
      <c r="O1913" s="61"/>
      <c r="P1913" s="61"/>
      <c r="Q1913" s="61"/>
      <c r="R1913" s="61"/>
      <c r="S1913" s="61"/>
      <c r="T1913" s="61"/>
      <c r="U1913" s="61"/>
      <c r="V1913" s="61"/>
      <c r="W1913" s="61"/>
      <c r="X1913" s="61"/>
      <c r="Y1913" s="61"/>
      <c r="Z1913" s="61"/>
    </row>
    <row r="1914" spans="1:26" ht="13">
      <c r="A1914" s="61"/>
      <c r="B1914" s="61"/>
      <c r="C1914" s="61"/>
      <c r="D1914" s="61"/>
      <c r="E1914" s="61"/>
      <c r="F1914" s="61"/>
      <c r="G1914" s="179"/>
      <c r="H1914" s="61"/>
      <c r="I1914" s="61"/>
      <c r="J1914" s="61"/>
      <c r="K1914" s="61"/>
      <c r="L1914" s="61"/>
      <c r="M1914" s="61"/>
      <c r="N1914" s="61"/>
      <c r="O1914" s="61"/>
      <c r="P1914" s="61"/>
      <c r="Q1914" s="61"/>
      <c r="R1914" s="61"/>
      <c r="S1914" s="61"/>
      <c r="T1914" s="61"/>
      <c r="U1914" s="61"/>
      <c r="V1914" s="61"/>
      <c r="W1914" s="61"/>
      <c r="X1914" s="61"/>
      <c r="Y1914" s="61"/>
      <c r="Z1914" s="61"/>
    </row>
    <row r="1915" spans="1:26" ht="13">
      <c r="A1915" s="61"/>
      <c r="B1915" s="61"/>
      <c r="C1915" s="61"/>
      <c r="D1915" s="61"/>
      <c r="E1915" s="61"/>
      <c r="F1915" s="61"/>
      <c r="G1915" s="179"/>
      <c r="H1915" s="61"/>
      <c r="I1915" s="61"/>
      <c r="J1915" s="61"/>
      <c r="K1915" s="61"/>
      <c r="L1915" s="61"/>
      <c r="M1915" s="61"/>
      <c r="N1915" s="61"/>
      <c r="O1915" s="61"/>
      <c r="P1915" s="61"/>
      <c r="Q1915" s="61"/>
      <c r="R1915" s="61"/>
      <c r="S1915" s="61"/>
      <c r="T1915" s="61"/>
      <c r="U1915" s="61"/>
      <c r="V1915" s="61"/>
      <c r="W1915" s="61"/>
      <c r="X1915" s="61"/>
      <c r="Y1915" s="61"/>
      <c r="Z1915" s="61"/>
    </row>
    <row r="1916" spans="1:26" ht="13">
      <c r="A1916" s="61"/>
      <c r="B1916" s="61"/>
      <c r="C1916" s="61"/>
      <c r="D1916" s="61"/>
      <c r="E1916" s="61"/>
      <c r="F1916" s="61"/>
      <c r="G1916" s="179"/>
      <c r="H1916" s="61"/>
      <c r="I1916" s="61"/>
      <c r="J1916" s="61"/>
      <c r="K1916" s="61"/>
      <c r="L1916" s="61"/>
      <c r="M1916" s="61"/>
      <c r="N1916" s="61"/>
      <c r="O1916" s="61"/>
      <c r="P1916" s="61"/>
      <c r="Q1916" s="61"/>
      <c r="R1916" s="61"/>
      <c r="S1916" s="61"/>
      <c r="T1916" s="61"/>
      <c r="U1916" s="61"/>
      <c r="V1916" s="61"/>
      <c r="W1916" s="61"/>
      <c r="X1916" s="61"/>
      <c r="Y1916" s="61"/>
      <c r="Z1916" s="61"/>
    </row>
    <row r="1917" spans="1:26" ht="13">
      <c r="A1917" s="61"/>
      <c r="B1917" s="61"/>
      <c r="C1917" s="61"/>
      <c r="D1917" s="61"/>
      <c r="E1917" s="61"/>
      <c r="F1917" s="61"/>
      <c r="G1917" s="179"/>
      <c r="H1917" s="61"/>
      <c r="I1917" s="61"/>
      <c r="J1917" s="61"/>
      <c r="K1917" s="61"/>
      <c r="L1917" s="61"/>
      <c r="M1917" s="61"/>
      <c r="N1917" s="61"/>
      <c r="O1917" s="61"/>
      <c r="P1917" s="61"/>
      <c r="Q1917" s="61"/>
      <c r="R1917" s="61"/>
      <c r="S1917" s="61"/>
      <c r="T1917" s="61"/>
      <c r="U1917" s="61"/>
      <c r="V1917" s="61"/>
      <c r="W1917" s="61"/>
      <c r="X1917" s="61"/>
      <c r="Y1917" s="61"/>
      <c r="Z1917" s="61"/>
    </row>
    <row r="1918" spans="1:26" ht="13">
      <c r="A1918" s="61"/>
      <c r="B1918" s="61"/>
      <c r="C1918" s="61"/>
      <c r="D1918" s="61"/>
      <c r="E1918" s="61"/>
      <c r="F1918" s="61"/>
      <c r="G1918" s="179"/>
      <c r="H1918" s="61"/>
      <c r="I1918" s="61"/>
      <c r="J1918" s="61"/>
      <c r="K1918" s="61"/>
      <c r="L1918" s="61"/>
      <c r="M1918" s="61"/>
      <c r="N1918" s="61"/>
      <c r="O1918" s="61"/>
      <c r="P1918" s="61"/>
      <c r="Q1918" s="61"/>
      <c r="R1918" s="61"/>
      <c r="S1918" s="61"/>
      <c r="T1918" s="61"/>
      <c r="U1918" s="61"/>
      <c r="V1918" s="61"/>
      <c r="W1918" s="61"/>
      <c r="X1918" s="61"/>
      <c r="Y1918" s="61"/>
      <c r="Z1918" s="61"/>
    </row>
    <row r="1919" spans="1:26" ht="13">
      <c r="A1919" s="61"/>
      <c r="B1919" s="61"/>
      <c r="C1919" s="61"/>
      <c r="D1919" s="61"/>
      <c r="E1919" s="61"/>
      <c r="F1919" s="61"/>
      <c r="G1919" s="179"/>
      <c r="H1919" s="61"/>
      <c r="I1919" s="61"/>
      <c r="J1919" s="61"/>
      <c r="K1919" s="61"/>
      <c r="L1919" s="61"/>
      <c r="M1919" s="61"/>
      <c r="N1919" s="61"/>
      <c r="O1919" s="61"/>
      <c r="P1919" s="61"/>
      <c r="Q1919" s="61"/>
      <c r="R1919" s="61"/>
      <c r="S1919" s="61"/>
      <c r="T1919" s="61"/>
      <c r="U1919" s="61"/>
      <c r="V1919" s="61"/>
      <c r="W1919" s="61"/>
      <c r="X1919" s="61"/>
      <c r="Y1919" s="61"/>
      <c r="Z1919" s="61"/>
    </row>
    <row r="1920" spans="1:26" ht="13">
      <c r="A1920" s="61"/>
      <c r="B1920" s="61"/>
      <c r="C1920" s="61"/>
      <c r="D1920" s="61"/>
      <c r="E1920" s="61"/>
      <c r="F1920" s="61"/>
      <c r="G1920" s="179"/>
      <c r="H1920" s="61"/>
      <c r="I1920" s="61"/>
      <c r="J1920" s="61"/>
      <c r="K1920" s="61"/>
      <c r="L1920" s="61"/>
      <c r="M1920" s="61"/>
      <c r="N1920" s="61"/>
      <c r="O1920" s="61"/>
      <c r="P1920" s="61"/>
      <c r="Q1920" s="61"/>
      <c r="R1920" s="61"/>
      <c r="S1920" s="61"/>
      <c r="T1920" s="61"/>
      <c r="U1920" s="61"/>
      <c r="V1920" s="61"/>
      <c r="W1920" s="61"/>
      <c r="X1920" s="61"/>
      <c r="Y1920" s="61"/>
      <c r="Z1920" s="61"/>
    </row>
    <row r="1921" spans="1:26" ht="13">
      <c r="A1921" s="61"/>
      <c r="B1921" s="61"/>
      <c r="C1921" s="61"/>
      <c r="D1921" s="61"/>
      <c r="E1921" s="61"/>
      <c r="F1921" s="61"/>
      <c r="G1921" s="179"/>
      <c r="H1921" s="61"/>
      <c r="I1921" s="61"/>
      <c r="J1921" s="61"/>
      <c r="K1921" s="61"/>
      <c r="L1921" s="61"/>
      <c r="M1921" s="61"/>
      <c r="N1921" s="61"/>
      <c r="O1921" s="61"/>
      <c r="P1921" s="61"/>
      <c r="Q1921" s="61"/>
      <c r="R1921" s="61"/>
      <c r="S1921" s="61"/>
      <c r="T1921" s="61"/>
      <c r="U1921" s="61"/>
      <c r="V1921" s="61"/>
      <c r="W1921" s="61"/>
      <c r="X1921" s="61"/>
      <c r="Y1921" s="61"/>
      <c r="Z1921" s="61"/>
    </row>
    <row r="1922" spans="1:26" ht="13">
      <c r="A1922" s="61"/>
      <c r="B1922" s="61"/>
      <c r="C1922" s="61"/>
      <c r="D1922" s="61"/>
      <c r="E1922" s="61"/>
      <c r="F1922" s="61"/>
      <c r="G1922" s="179"/>
      <c r="H1922" s="61"/>
      <c r="I1922" s="61"/>
      <c r="J1922" s="61"/>
      <c r="K1922" s="61"/>
      <c r="L1922" s="61"/>
      <c r="M1922" s="61"/>
      <c r="N1922" s="61"/>
      <c r="O1922" s="61"/>
      <c r="P1922" s="61"/>
      <c r="Q1922" s="61"/>
      <c r="R1922" s="61"/>
      <c r="S1922" s="61"/>
      <c r="T1922" s="61"/>
      <c r="U1922" s="61"/>
      <c r="V1922" s="61"/>
      <c r="W1922" s="61"/>
      <c r="X1922" s="61"/>
      <c r="Y1922" s="61"/>
      <c r="Z1922" s="61"/>
    </row>
    <row r="1923" spans="1:26" ht="13">
      <c r="A1923" s="61"/>
      <c r="B1923" s="61"/>
      <c r="C1923" s="61"/>
      <c r="D1923" s="61"/>
      <c r="E1923" s="61"/>
      <c r="F1923" s="61"/>
      <c r="G1923" s="179"/>
      <c r="H1923" s="61"/>
      <c r="I1923" s="61"/>
      <c r="J1923" s="61"/>
      <c r="K1923" s="61"/>
      <c r="L1923" s="61"/>
      <c r="M1923" s="61"/>
      <c r="N1923" s="61"/>
      <c r="O1923" s="61"/>
      <c r="P1923" s="61"/>
      <c r="Q1923" s="61"/>
      <c r="R1923" s="61"/>
      <c r="S1923" s="61"/>
      <c r="T1923" s="61"/>
      <c r="U1923" s="61"/>
      <c r="V1923" s="61"/>
      <c r="W1923" s="61"/>
      <c r="X1923" s="61"/>
      <c r="Y1923" s="61"/>
      <c r="Z1923" s="61"/>
    </row>
    <row r="1924" spans="1:26" ht="13">
      <c r="A1924" s="61"/>
      <c r="B1924" s="61"/>
      <c r="C1924" s="61"/>
      <c r="D1924" s="61"/>
      <c r="E1924" s="61"/>
      <c r="F1924" s="61"/>
      <c r="G1924" s="179"/>
      <c r="H1924" s="61"/>
      <c r="I1924" s="61"/>
      <c r="J1924" s="61"/>
      <c r="K1924" s="61"/>
      <c r="L1924" s="61"/>
      <c r="M1924" s="61"/>
      <c r="N1924" s="61"/>
      <c r="O1924" s="61"/>
      <c r="P1924" s="61"/>
      <c r="Q1924" s="61"/>
      <c r="R1924" s="61"/>
      <c r="S1924" s="61"/>
      <c r="T1924" s="61"/>
      <c r="U1924" s="61"/>
      <c r="V1924" s="61"/>
      <c r="W1924" s="61"/>
      <c r="X1924" s="61"/>
      <c r="Y1924" s="61"/>
      <c r="Z1924" s="61"/>
    </row>
    <row r="1925" spans="1:26" ht="13">
      <c r="A1925" s="61"/>
      <c r="B1925" s="61"/>
      <c r="C1925" s="61"/>
      <c r="D1925" s="61"/>
      <c r="E1925" s="61"/>
      <c r="F1925" s="61"/>
      <c r="G1925" s="179"/>
      <c r="H1925" s="61"/>
      <c r="I1925" s="61"/>
      <c r="J1925" s="61"/>
      <c r="K1925" s="61"/>
      <c r="L1925" s="61"/>
      <c r="M1925" s="61"/>
      <c r="N1925" s="61"/>
      <c r="O1925" s="61"/>
      <c r="P1925" s="61"/>
      <c r="Q1925" s="61"/>
      <c r="R1925" s="61"/>
      <c r="S1925" s="61"/>
      <c r="T1925" s="61"/>
      <c r="U1925" s="61"/>
      <c r="V1925" s="61"/>
      <c r="W1925" s="61"/>
      <c r="X1925" s="61"/>
      <c r="Y1925" s="61"/>
      <c r="Z1925" s="61"/>
    </row>
    <row r="1926" spans="1:26" ht="13">
      <c r="A1926" s="61"/>
      <c r="B1926" s="61"/>
      <c r="C1926" s="61"/>
      <c r="D1926" s="61"/>
      <c r="E1926" s="61"/>
      <c r="F1926" s="61"/>
      <c r="G1926" s="179"/>
      <c r="H1926" s="61"/>
      <c r="I1926" s="61"/>
      <c r="J1926" s="61"/>
      <c r="K1926" s="61"/>
      <c r="L1926" s="61"/>
      <c r="M1926" s="61"/>
      <c r="N1926" s="61"/>
      <c r="O1926" s="61"/>
      <c r="P1926" s="61"/>
      <c r="Q1926" s="61"/>
      <c r="R1926" s="61"/>
      <c r="S1926" s="61"/>
      <c r="T1926" s="61"/>
      <c r="U1926" s="61"/>
      <c r="V1926" s="61"/>
      <c r="W1926" s="61"/>
      <c r="X1926" s="61"/>
      <c r="Y1926" s="61"/>
      <c r="Z1926" s="61"/>
    </row>
    <row r="1927" spans="1:26" ht="13">
      <c r="A1927" s="61"/>
      <c r="B1927" s="61"/>
      <c r="C1927" s="61"/>
      <c r="D1927" s="61"/>
      <c r="E1927" s="61"/>
      <c r="F1927" s="61"/>
      <c r="G1927" s="179"/>
      <c r="H1927" s="61"/>
      <c r="I1927" s="61"/>
      <c r="J1927" s="61"/>
      <c r="K1927" s="61"/>
      <c r="L1927" s="61"/>
      <c r="M1927" s="61"/>
      <c r="N1927" s="61"/>
      <c r="O1927" s="61"/>
      <c r="P1927" s="61"/>
      <c r="Q1927" s="61"/>
      <c r="R1927" s="61"/>
      <c r="S1927" s="61"/>
      <c r="T1927" s="61"/>
      <c r="U1927" s="61"/>
      <c r="V1927" s="61"/>
      <c r="W1927" s="61"/>
      <c r="X1927" s="61"/>
      <c r="Y1927" s="61"/>
      <c r="Z1927" s="61"/>
    </row>
    <row r="1928" spans="1:26" ht="13">
      <c r="A1928" s="61"/>
      <c r="B1928" s="61"/>
      <c r="C1928" s="61"/>
      <c r="D1928" s="61"/>
      <c r="E1928" s="61"/>
      <c r="F1928" s="61"/>
      <c r="G1928" s="179"/>
      <c r="H1928" s="61"/>
      <c r="I1928" s="61"/>
      <c r="J1928" s="61"/>
      <c r="K1928" s="61"/>
      <c r="L1928" s="61"/>
      <c r="M1928" s="61"/>
      <c r="N1928" s="61"/>
      <c r="O1928" s="61"/>
      <c r="P1928" s="61"/>
      <c r="Q1928" s="61"/>
      <c r="R1928" s="61"/>
      <c r="S1928" s="61"/>
      <c r="T1928" s="61"/>
      <c r="U1928" s="61"/>
      <c r="V1928" s="61"/>
      <c r="W1928" s="61"/>
      <c r="X1928" s="61"/>
      <c r="Y1928" s="61"/>
      <c r="Z1928" s="61"/>
    </row>
    <row r="1929" spans="1:26" ht="13">
      <c r="A1929" s="61"/>
      <c r="B1929" s="61"/>
      <c r="C1929" s="61"/>
      <c r="D1929" s="61"/>
      <c r="E1929" s="61"/>
      <c r="F1929" s="61"/>
      <c r="G1929" s="179"/>
      <c r="H1929" s="61"/>
      <c r="I1929" s="61"/>
      <c r="J1929" s="61"/>
      <c r="K1929" s="61"/>
      <c r="L1929" s="61"/>
      <c r="M1929" s="61"/>
      <c r="N1929" s="61"/>
      <c r="O1929" s="61"/>
      <c r="P1929" s="61"/>
      <c r="Q1929" s="61"/>
      <c r="R1929" s="61"/>
      <c r="S1929" s="61"/>
      <c r="T1929" s="61"/>
      <c r="U1929" s="61"/>
      <c r="V1929" s="61"/>
      <c r="W1929" s="61"/>
      <c r="X1929" s="61"/>
      <c r="Y1929" s="61"/>
      <c r="Z1929" s="61"/>
    </row>
    <row r="1930" spans="1:26" ht="13">
      <c r="A1930" s="61"/>
      <c r="B1930" s="61"/>
      <c r="C1930" s="61"/>
      <c r="D1930" s="61"/>
      <c r="E1930" s="61"/>
      <c r="F1930" s="61"/>
      <c r="G1930" s="179"/>
      <c r="H1930" s="61"/>
      <c r="I1930" s="61"/>
      <c r="J1930" s="61"/>
      <c r="K1930" s="61"/>
      <c r="L1930" s="61"/>
      <c r="M1930" s="61"/>
      <c r="N1930" s="61"/>
      <c r="O1930" s="61"/>
      <c r="P1930" s="61"/>
      <c r="Q1930" s="61"/>
      <c r="R1930" s="61"/>
      <c r="S1930" s="61"/>
      <c r="T1930" s="61"/>
      <c r="U1930" s="61"/>
      <c r="V1930" s="61"/>
      <c r="W1930" s="61"/>
      <c r="X1930" s="61"/>
      <c r="Y1930" s="61"/>
      <c r="Z1930" s="61"/>
    </row>
    <row r="1931" spans="1:26" ht="13">
      <c r="A1931" s="61"/>
      <c r="B1931" s="61"/>
      <c r="C1931" s="61"/>
      <c r="D1931" s="61"/>
      <c r="E1931" s="61"/>
      <c r="F1931" s="61"/>
      <c r="G1931" s="179"/>
      <c r="H1931" s="61"/>
      <c r="I1931" s="61"/>
      <c r="J1931" s="61"/>
      <c r="K1931" s="61"/>
      <c r="L1931" s="61"/>
      <c r="M1931" s="61"/>
      <c r="N1931" s="61"/>
      <c r="O1931" s="61"/>
      <c r="P1931" s="61"/>
      <c r="Q1931" s="61"/>
      <c r="R1931" s="61"/>
      <c r="S1931" s="61"/>
      <c r="T1931" s="61"/>
      <c r="U1931" s="61"/>
      <c r="V1931" s="61"/>
      <c r="W1931" s="61"/>
      <c r="X1931" s="61"/>
      <c r="Y1931" s="61"/>
      <c r="Z1931" s="61"/>
    </row>
    <row r="1932" spans="1:26" ht="13">
      <c r="A1932" s="61"/>
      <c r="B1932" s="61"/>
      <c r="C1932" s="61"/>
      <c r="D1932" s="61"/>
      <c r="E1932" s="61"/>
      <c r="F1932" s="61"/>
      <c r="G1932" s="179"/>
      <c r="H1932" s="61"/>
      <c r="I1932" s="61"/>
      <c r="J1932" s="61"/>
      <c r="K1932" s="61"/>
      <c r="L1932" s="61"/>
      <c r="M1932" s="61"/>
      <c r="N1932" s="61"/>
      <c r="O1932" s="61"/>
      <c r="P1932" s="61"/>
      <c r="Q1932" s="61"/>
      <c r="R1932" s="61"/>
      <c r="S1932" s="61"/>
      <c r="T1932" s="61"/>
      <c r="U1932" s="61"/>
      <c r="V1932" s="61"/>
      <c r="W1932" s="61"/>
      <c r="X1932" s="61"/>
      <c r="Y1932" s="61"/>
      <c r="Z1932" s="61"/>
    </row>
    <row r="1933" spans="1:26" ht="13">
      <c r="A1933" s="61"/>
      <c r="B1933" s="61"/>
      <c r="C1933" s="61"/>
      <c r="D1933" s="61"/>
      <c r="E1933" s="61"/>
      <c r="F1933" s="61"/>
      <c r="G1933" s="179"/>
      <c r="H1933" s="61"/>
      <c r="I1933" s="61"/>
      <c r="J1933" s="61"/>
      <c r="K1933" s="61"/>
      <c r="L1933" s="61"/>
      <c r="M1933" s="61"/>
      <c r="N1933" s="61"/>
      <c r="O1933" s="61"/>
      <c r="P1933" s="61"/>
      <c r="Q1933" s="61"/>
      <c r="R1933" s="61"/>
      <c r="S1933" s="61"/>
      <c r="T1933" s="61"/>
      <c r="U1933" s="61"/>
      <c r="V1933" s="61"/>
      <c r="W1933" s="61"/>
      <c r="X1933" s="61"/>
      <c r="Y1933" s="61"/>
      <c r="Z1933" s="61"/>
    </row>
    <row r="1934" spans="1:26" ht="13">
      <c r="A1934" s="61"/>
      <c r="B1934" s="61"/>
      <c r="C1934" s="61"/>
      <c r="D1934" s="61"/>
      <c r="E1934" s="61"/>
      <c r="F1934" s="61"/>
      <c r="G1934" s="179"/>
      <c r="H1934" s="61"/>
      <c r="I1934" s="61"/>
      <c r="J1934" s="61"/>
      <c r="K1934" s="61"/>
      <c r="L1934" s="61"/>
      <c r="M1934" s="61"/>
      <c r="N1934" s="61"/>
      <c r="O1934" s="61"/>
      <c r="P1934" s="61"/>
      <c r="Q1934" s="61"/>
      <c r="R1934" s="61"/>
      <c r="S1934" s="61"/>
      <c r="T1934" s="61"/>
      <c r="U1934" s="61"/>
      <c r="V1934" s="61"/>
      <c r="W1934" s="61"/>
      <c r="X1934" s="61"/>
      <c r="Y1934" s="61"/>
      <c r="Z1934" s="61"/>
    </row>
    <row r="1935" spans="1:26" ht="13">
      <c r="A1935" s="61"/>
      <c r="B1935" s="61"/>
      <c r="C1935" s="61"/>
      <c r="D1935" s="61"/>
      <c r="E1935" s="61"/>
      <c r="F1935" s="61"/>
      <c r="G1935" s="179"/>
      <c r="H1935" s="61"/>
      <c r="I1935" s="61"/>
      <c r="J1935" s="61"/>
      <c r="K1935" s="61"/>
      <c r="L1935" s="61"/>
      <c r="M1935" s="61"/>
      <c r="N1935" s="61"/>
      <c r="O1935" s="61"/>
      <c r="P1935" s="61"/>
      <c r="Q1935" s="61"/>
      <c r="R1935" s="61"/>
      <c r="S1935" s="61"/>
      <c r="T1935" s="61"/>
      <c r="U1935" s="61"/>
      <c r="V1935" s="61"/>
      <c r="W1935" s="61"/>
      <c r="X1935" s="61"/>
      <c r="Y1935" s="61"/>
      <c r="Z1935" s="61"/>
    </row>
    <row r="1936" spans="1:26" ht="13">
      <c r="A1936" s="61"/>
      <c r="B1936" s="61"/>
      <c r="C1936" s="61"/>
      <c r="D1936" s="61"/>
      <c r="E1936" s="61"/>
      <c r="F1936" s="61"/>
      <c r="G1936" s="179"/>
      <c r="H1936" s="61"/>
      <c r="I1936" s="61"/>
      <c r="J1936" s="61"/>
      <c r="K1936" s="61"/>
      <c r="L1936" s="61"/>
      <c r="M1936" s="61"/>
      <c r="N1936" s="61"/>
      <c r="O1936" s="61"/>
      <c r="P1936" s="61"/>
      <c r="Q1936" s="61"/>
      <c r="R1936" s="61"/>
      <c r="S1936" s="61"/>
      <c r="T1936" s="61"/>
      <c r="U1936" s="61"/>
      <c r="V1936" s="61"/>
      <c r="W1936" s="61"/>
      <c r="X1936" s="61"/>
      <c r="Y1936" s="61"/>
      <c r="Z1936" s="61"/>
    </row>
    <row r="1937" spans="1:26" ht="13">
      <c r="A1937" s="61"/>
      <c r="B1937" s="61"/>
      <c r="C1937" s="61"/>
      <c r="D1937" s="61"/>
      <c r="E1937" s="61"/>
      <c r="F1937" s="61"/>
      <c r="G1937" s="179"/>
      <c r="H1937" s="61"/>
      <c r="I1937" s="61"/>
      <c r="J1937" s="61"/>
      <c r="K1937" s="61"/>
      <c r="L1937" s="61"/>
      <c r="M1937" s="61"/>
      <c r="N1937" s="61"/>
      <c r="O1937" s="61"/>
      <c r="P1937" s="61"/>
      <c r="Q1937" s="61"/>
      <c r="R1937" s="61"/>
      <c r="S1937" s="61"/>
      <c r="T1937" s="61"/>
      <c r="U1937" s="61"/>
      <c r="V1937" s="61"/>
      <c r="W1937" s="61"/>
      <c r="X1937" s="61"/>
      <c r="Y1937" s="61"/>
      <c r="Z1937" s="61"/>
    </row>
    <row r="1938" spans="1:26" ht="13">
      <c r="A1938" s="61"/>
      <c r="B1938" s="61"/>
      <c r="C1938" s="61"/>
      <c r="D1938" s="61"/>
      <c r="E1938" s="61"/>
      <c r="F1938" s="61"/>
      <c r="G1938" s="179"/>
      <c r="H1938" s="61"/>
      <c r="I1938" s="61"/>
      <c r="J1938" s="61"/>
      <c r="K1938" s="61"/>
      <c r="L1938" s="61"/>
      <c r="M1938" s="61"/>
      <c r="N1938" s="61"/>
      <c r="O1938" s="61"/>
      <c r="P1938" s="61"/>
      <c r="Q1938" s="61"/>
      <c r="R1938" s="61"/>
      <c r="S1938" s="61"/>
      <c r="T1938" s="61"/>
      <c r="U1938" s="61"/>
      <c r="V1938" s="61"/>
      <c r="W1938" s="61"/>
      <c r="X1938" s="61"/>
      <c r="Y1938" s="61"/>
      <c r="Z1938" s="61"/>
    </row>
    <row r="1939" spans="1:26" ht="13">
      <c r="A1939" s="61"/>
      <c r="B1939" s="61"/>
      <c r="C1939" s="61"/>
      <c r="D1939" s="61"/>
      <c r="E1939" s="61"/>
      <c r="F1939" s="61"/>
      <c r="G1939" s="179"/>
      <c r="H1939" s="61"/>
      <c r="I1939" s="61"/>
      <c r="J1939" s="61"/>
      <c r="K1939" s="61"/>
      <c r="L1939" s="61"/>
      <c r="M1939" s="61"/>
      <c r="N1939" s="61"/>
      <c r="O1939" s="61"/>
      <c r="P1939" s="61"/>
      <c r="Q1939" s="61"/>
      <c r="R1939" s="61"/>
      <c r="S1939" s="61"/>
      <c r="T1939" s="61"/>
      <c r="U1939" s="61"/>
      <c r="V1939" s="61"/>
      <c r="W1939" s="61"/>
      <c r="X1939" s="61"/>
      <c r="Y1939" s="61"/>
      <c r="Z1939" s="61"/>
    </row>
    <row r="1940" spans="1:26" ht="13">
      <c r="A1940" s="61"/>
      <c r="B1940" s="61"/>
      <c r="C1940" s="61"/>
      <c r="D1940" s="61"/>
      <c r="E1940" s="61"/>
      <c r="F1940" s="61"/>
      <c r="G1940" s="179"/>
      <c r="H1940" s="61"/>
      <c r="I1940" s="61"/>
      <c r="J1940" s="61"/>
      <c r="K1940" s="61"/>
      <c r="L1940" s="61"/>
      <c r="M1940" s="61"/>
      <c r="N1940" s="61"/>
      <c r="O1940" s="61"/>
      <c r="P1940" s="61"/>
      <c r="Q1940" s="61"/>
      <c r="R1940" s="61"/>
      <c r="S1940" s="61"/>
      <c r="T1940" s="61"/>
      <c r="U1940" s="61"/>
      <c r="V1940" s="61"/>
      <c r="W1940" s="61"/>
      <c r="X1940" s="61"/>
      <c r="Y1940" s="61"/>
      <c r="Z1940" s="61"/>
    </row>
    <row r="1941" spans="1:26" ht="13">
      <c r="A1941" s="61"/>
      <c r="B1941" s="61"/>
      <c r="C1941" s="61"/>
      <c r="D1941" s="61"/>
      <c r="E1941" s="61"/>
      <c r="F1941" s="61"/>
      <c r="G1941" s="179"/>
      <c r="H1941" s="61"/>
      <c r="I1941" s="61"/>
      <c r="J1941" s="61"/>
      <c r="K1941" s="61"/>
      <c r="L1941" s="61"/>
      <c r="M1941" s="61"/>
      <c r="N1941" s="61"/>
      <c r="O1941" s="61"/>
      <c r="P1941" s="61"/>
      <c r="Q1941" s="61"/>
      <c r="R1941" s="61"/>
      <c r="S1941" s="61"/>
      <c r="T1941" s="61"/>
      <c r="U1941" s="61"/>
      <c r="V1941" s="61"/>
      <c r="W1941" s="61"/>
      <c r="X1941" s="61"/>
      <c r="Y1941" s="61"/>
      <c r="Z1941" s="61"/>
    </row>
    <row r="1942" spans="1:26" ht="13">
      <c r="A1942" s="61"/>
      <c r="B1942" s="61"/>
      <c r="C1942" s="61"/>
      <c r="D1942" s="61"/>
      <c r="E1942" s="61"/>
      <c r="F1942" s="61"/>
      <c r="G1942" s="179"/>
      <c r="H1942" s="61"/>
      <c r="I1942" s="61"/>
      <c r="J1942" s="61"/>
      <c r="K1942" s="61"/>
      <c r="L1942" s="61"/>
      <c r="M1942" s="61"/>
      <c r="N1942" s="61"/>
      <c r="O1942" s="61"/>
      <c r="P1942" s="61"/>
      <c r="Q1942" s="61"/>
      <c r="R1942" s="61"/>
      <c r="S1942" s="61"/>
      <c r="T1942" s="61"/>
      <c r="U1942" s="61"/>
      <c r="V1942" s="61"/>
      <c r="W1942" s="61"/>
      <c r="X1942" s="61"/>
      <c r="Y1942" s="61"/>
      <c r="Z1942" s="61"/>
    </row>
    <row r="1943" spans="1:26" ht="13">
      <c r="A1943" s="61"/>
      <c r="B1943" s="61"/>
      <c r="C1943" s="61"/>
      <c r="D1943" s="61"/>
      <c r="E1943" s="61"/>
      <c r="F1943" s="61"/>
      <c r="G1943" s="179"/>
      <c r="H1943" s="61"/>
      <c r="I1943" s="61"/>
      <c r="J1943" s="61"/>
      <c r="K1943" s="61"/>
      <c r="L1943" s="61"/>
      <c r="M1943" s="61"/>
      <c r="N1943" s="61"/>
      <c r="O1943" s="61"/>
      <c r="P1943" s="61"/>
      <c r="Q1943" s="61"/>
      <c r="R1943" s="61"/>
      <c r="S1943" s="61"/>
      <c r="T1943" s="61"/>
      <c r="U1943" s="61"/>
      <c r="V1943" s="61"/>
      <c r="W1943" s="61"/>
      <c r="X1943" s="61"/>
      <c r="Y1943" s="61"/>
      <c r="Z1943" s="61"/>
    </row>
    <row r="1944" spans="1:26" ht="13">
      <c r="A1944" s="61"/>
      <c r="B1944" s="61"/>
      <c r="C1944" s="61"/>
      <c r="D1944" s="61"/>
      <c r="E1944" s="61"/>
      <c r="F1944" s="61"/>
      <c r="G1944" s="179"/>
      <c r="H1944" s="61"/>
      <c r="I1944" s="61"/>
      <c r="J1944" s="61"/>
      <c r="K1944" s="61"/>
      <c r="L1944" s="61"/>
      <c r="M1944" s="61"/>
      <c r="N1944" s="61"/>
      <c r="O1944" s="61"/>
      <c r="P1944" s="61"/>
      <c r="Q1944" s="61"/>
      <c r="R1944" s="61"/>
      <c r="S1944" s="61"/>
      <c r="T1944" s="61"/>
      <c r="U1944" s="61"/>
      <c r="V1944" s="61"/>
      <c r="W1944" s="61"/>
      <c r="X1944" s="61"/>
      <c r="Y1944" s="61"/>
      <c r="Z1944" s="61"/>
    </row>
    <row r="1945" spans="1:26" ht="13">
      <c r="A1945" s="61"/>
      <c r="B1945" s="61"/>
      <c r="C1945" s="61"/>
      <c r="D1945" s="61"/>
      <c r="E1945" s="61"/>
      <c r="F1945" s="61"/>
      <c r="G1945" s="179"/>
      <c r="H1945" s="61"/>
      <c r="I1945" s="61"/>
      <c r="J1945" s="61"/>
      <c r="K1945" s="61"/>
      <c r="L1945" s="61"/>
      <c r="M1945" s="61"/>
      <c r="N1945" s="61"/>
      <c r="O1945" s="61"/>
      <c r="P1945" s="61"/>
      <c r="Q1945" s="61"/>
      <c r="R1945" s="61"/>
      <c r="S1945" s="61"/>
      <c r="T1945" s="61"/>
      <c r="U1945" s="61"/>
      <c r="V1945" s="61"/>
      <c r="W1945" s="61"/>
      <c r="X1945" s="61"/>
      <c r="Y1945" s="61"/>
      <c r="Z1945" s="61"/>
    </row>
    <row r="1946" spans="1:26" ht="13">
      <c r="A1946" s="61"/>
      <c r="B1946" s="61"/>
      <c r="C1946" s="61"/>
      <c r="D1946" s="61"/>
      <c r="E1946" s="61"/>
      <c r="F1946" s="61"/>
      <c r="G1946" s="179"/>
      <c r="H1946" s="61"/>
      <c r="I1946" s="61"/>
      <c r="J1946" s="61"/>
      <c r="K1946" s="61"/>
      <c r="L1946" s="61"/>
      <c r="M1946" s="61"/>
      <c r="N1946" s="61"/>
      <c r="O1946" s="61"/>
      <c r="P1946" s="61"/>
      <c r="Q1946" s="61"/>
      <c r="R1946" s="61"/>
      <c r="S1946" s="61"/>
      <c r="T1946" s="61"/>
      <c r="U1946" s="61"/>
      <c r="V1946" s="61"/>
      <c r="W1946" s="61"/>
      <c r="X1946" s="61"/>
      <c r="Y1946" s="61"/>
      <c r="Z1946" s="61"/>
    </row>
    <row r="1947" spans="1:26" ht="13">
      <c r="A1947" s="61"/>
      <c r="B1947" s="61"/>
      <c r="C1947" s="61"/>
      <c r="D1947" s="61"/>
      <c r="E1947" s="61"/>
      <c r="F1947" s="61"/>
      <c r="G1947" s="179"/>
      <c r="H1947" s="61"/>
      <c r="I1947" s="61"/>
      <c r="J1947" s="61"/>
      <c r="K1947" s="61"/>
      <c r="L1947" s="61"/>
      <c r="M1947" s="61"/>
      <c r="N1947" s="61"/>
      <c r="O1947" s="61"/>
      <c r="P1947" s="61"/>
      <c r="Q1947" s="61"/>
      <c r="R1947" s="61"/>
      <c r="S1947" s="61"/>
      <c r="T1947" s="61"/>
      <c r="U1947" s="61"/>
      <c r="V1947" s="61"/>
      <c r="W1947" s="61"/>
      <c r="X1947" s="61"/>
      <c r="Y1947" s="61"/>
      <c r="Z1947" s="61"/>
    </row>
    <row r="1948" spans="1:26" ht="13">
      <c r="A1948" s="61"/>
      <c r="B1948" s="61"/>
      <c r="C1948" s="61"/>
      <c r="D1948" s="61"/>
      <c r="E1948" s="61"/>
      <c r="F1948" s="61"/>
      <c r="G1948" s="179"/>
      <c r="H1948" s="61"/>
      <c r="I1948" s="61"/>
      <c r="J1948" s="61"/>
      <c r="K1948" s="61"/>
      <c r="L1948" s="61"/>
      <c r="M1948" s="61"/>
      <c r="N1948" s="61"/>
      <c r="O1948" s="61"/>
      <c r="P1948" s="61"/>
      <c r="Q1948" s="61"/>
      <c r="R1948" s="61"/>
      <c r="S1948" s="61"/>
      <c r="T1948" s="61"/>
      <c r="U1948" s="61"/>
      <c r="V1948" s="61"/>
      <c r="W1948" s="61"/>
      <c r="X1948" s="61"/>
      <c r="Y1948" s="61"/>
      <c r="Z1948" s="61"/>
    </row>
    <row r="1949" spans="1:26" ht="13">
      <c r="A1949" s="61"/>
      <c r="B1949" s="61"/>
      <c r="C1949" s="61"/>
      <c r="D1949" s="61"/>
      <c r="E1949" s="61"/>
      <c r="F1949" s="61"/>
      <c r="G1949" s="179"/>
      <c r="H1949" s="61"/>
      <c r="I1949" s="61"/>
      <c r="J1949" s="61"/>
      <c r="K1949" s="61"/>
      <c r="L1949" s="61"/>
      <c r="M1949" s="61"/>
      <c r="N1949" s="61"/>
      <c r="O1949" s="61"/>
      <c r="P1949" s="61"/>
      <c r="Q1949" s="61"/>
      <c r="R1949" s="61"/>
      <c r="S1949" s="61"/>
      <c r="T1949" s="61"/>
      <c r="U1949" s="61"/>
      <c r="V1949" s="61"/>
      <c r="W1949" s="61"/>
      <c r="X1949" s="61"/>
      <c r="Y1949" s="61"/>
      <c r="Z1949" s="61"/>
    </row>
    <row r="1950" spans="1:26" ht="13">
      <c r="A1950" s="61"/>
      <c r="B1950" s="61"/>
      <c r="C1950" s="61"/>
      <c r="D1950" s="61"/>
      <c r="E1950" s="61"/>
      <c r="F1950" s="61"/>
      <c r="G1950" s="179"/>
      <c r="H1950" s="61"/>
      <c r="I1950" s="61"/>
      <c r="J1950" s="61"/>
      <c r="K1950" s="61"/>
      <c r="L1950" s="61"/>
      <c r="M1950" s="61"/>
      <c r="N1950" s="61"/>
      <c r="O1950" s="61"/>
      <c r="P1950" s="61"/>
      <c r="Q1950" s="61"/>
      <c r="R1950" s="61"/>
      <c r="S1950" s="61"/>
      <c r="T1950" s="61"/>
      <c r="U1950" s="61"/>
      <c r="V1950" s="61"/>
      <c r="W1950" s="61"/>
      <c r="X1950" s="61"/>
      <c r="Y1950" s="61"/>
      <c r="Z1950" s="61"/>
    </row>
    <row r="1951" spans="1:26" ht="13">
      <c r="A1951" s="61"/>
      <c r="B1951" s="61"/>
      <c r="C1951" s="61"/>
      <c r="D1951" s="61"/>
      <c r="E1951" s="61"/>
      <c r="F1951" s="61"/>
      <c r="G1951" s="179"/>
      <c r="H1951" s="61"/>
      <c r="I1951" s="61"/>
      <c r="J1951" s="61"/>
      <c r="K1951" s="61"/>
      <c r="L1951" s="61"/>
      <c r="M1951" s="61"/>
      <c r="N1951" s="61"/>
      <c r="O1951" s="61"/>
      <c r="P1951" s="61"/>
      <c r="Q1951" s="61"/>
      <c r="R1951" s="61"/>
      <c r="S1951" s="61"/>
      <c r="T1951" s="61"/>
      <c r="U1951" s="61"/>
      <c r="V1951" s="61"/>
      <c r="W1951" s="61"/>
      <c r="X1951" s="61"/>
      <c r="Y1951" s="61"/>
      <c r="Z1951" s="61"/>
    </row>
    <row r="1952" spans="1:26" ht="13">
      <c r="A1952" s="61"/>
      <c r="B1952" s="61"/>
      <c r="C1952" s="61"/>
      <c r="D1952" s="61"/>
      <c r="E1952" s="61"/>
      <c r="F1952" s="61"/>
      <c r="G1952" s="179"/>
      <c r="H1952" s="61"/>
      <c r="I1952" s="61"/>
      <c r="J1952" s="61"/>
      <c r="K1952" s="61"/>
      <c r="L1952" s="61"/>
      <c r="M1952" s="61"/>
      <c r="N1952" s="61"/>
      <c r="O1952" s="61"/>
      <c r="P1952" s="61"/>
      <c r="Q1952" s="61"/>
      <c r="R1952" s="61"/>
      <c r="S1952" s="61"/>
      <c r="T1952" s="61"/>
      <c r="U1952" s="61"/>
      <c r="V1952" s="61"/>
      <c r="W1952" s="61"/>
      <c r="X1952" s="61"/>
      <c r="Y1952" s="61"/>
      <c r="Z1952" s="61"/>
    </row>
    <row r="1953" spans="1:26" ht="13">
      <c r="A1953" s="61"/>
      <c r="B1953" s="61"/>
      <c r="C1953" s="61"/>
      <c r="D1953" s="61"/>
      <c r="E1953" s="61"/>
      <c r="F1953" s="61"/>
      <c r="G1953" s="179"/>
      <c r="H1953" s="61"/>
      <c r="I1953" s="61"/>
      <c r="J1953" s="61"/>
      <c r="K1953" s="61"/>
      <c r="L1953" s="61"/>
      <c r="M1953" s="61"/>
      <c r="N1953" s="61"/>
      <c r="O1953" s="61"/>
      <c r="P1953" s="61"/>
      <c r="Q1953" s="61"/>
      <c r="R1953" s="61"/>
      <c r="S1953" s="61"/>
      <c r="T1953" s="61"/>
      <c r="U1953" s="61"/>
      <c r="V1953" s="61"/>
      <c r="W1953" s="61"/>
      <c r="X1953" s="61"/>
      <c r="Y1953" s="61"/>
      <c r="Z1953" s="61"/>
    </row>
    <row r="1954" spans="1:26" ht="13">
      <c r="A1954" s="61"/>
      <c r="B1954" s="61"/>
      <c r="C1954" s="61"/>
      <c r="D1954" s="61"/>
      <c r="E1954" s="61"/>
      <c r="F1954" s="61"/>
      <c r="G1954" s="179"/>
      <c r="H1954" s="61"/>
      <c r="I1954" s="61"/>
      <c r="J1954" s="61"/>
      <c r="K1954" s="61"/>
      <c r="L1954" s="61"/>
      <c r="M1954" s="61"/>
      <c r="N1954" s="61"/>
      <c r="O1954" s="61"/>
      <c r="P1954" s="61"/>
      <c r="Q1954" s="61"/>
      <c r="R1954" s="61"/>
      <c r="S1954" s="61"/>
      <c r="T1954" s="61"/>
      <c r="U1954" s="61"/>
      <c r="V1954" s="61"/>
      <c r="W1954" s="61"/>
      <c r="X1954" s="61"/>
      <c r="Y1954" s="61"/>
      <c r="Z1954" s="61"/>
    </row>
    <row r="1955" spans="1:26" ht="13">
      <c r="A1955" s="61"/>
      <c r="B1955" s="61"/>
      <c r="C1955" s="61"/>
      <c r="D1955" s="61"/>
      <c r="E1955" s="61"/>
      <c r="F1955" s="61"/>
      <c r="G1955" s="179"/>
      <c r="H1955" s="61"/>
      <c r="I1955" s="61"/>
      <c r="J1955" s="61"/>
      <c r="K1955" s="61"/>
      <c r="L1955" s="61"/>
      <c r="M1955" s="61"/>
      <c r="N1955" s="61"/>
      <c r="O1955" s="61"/>
      <c r="P1955" s="61"/>
      <c r="Q1955" s="61"/>
      <c r="R1955" s="61"/>
      <c r="S1955" s="61"/>
      <c r="T1955" s="61"/>
      <c r="U1955" s="61"/>
      <c r="V1955" s="61"/>
      <c r="W1955" s="61"/>
      <c r="X1955" s="61"/>
      <c r="Y1955" s="61"/>
      <c r="Z1955" s="61"/>
    </row>
    <row r="1956" spans="1:26" ht="13">
      <c r="A1956" s="61"/>
      <c r="B1956" s="61"/>
      <c r="C1956" s="61"/>
      <c r="D1956" s="61"/>
      <c r="E1956" s="61"/>
      <c r="F1956" s="61"/>
      <c r="G1956" s="179"/>
      <c r="H1956" s="61"/>
      <c r="I1956" s="61"/>
      <c r="J1956" s="61"/>
      <c r="K1956" s="61"/>
      <c r="L1956" s="61"/>
      <c r="M1956" s="61"/>
      <c r="N1956" s="61"/>
      <c r="O1956" s="61"/>
      <c r="P1956" s="61"/>
      <c r="Q1956" s="61"/>
      <c r="R1956" s="61"/>
      <c r="S1956" s="61"/>
      <c r="T1956" s="61"/>
      <c r="U1956" s="61"/>
      <c r="V1956" s="61"/>
      <c r="W1956" s="61"/>
      <c r="X1956" s="61"/>
      <c r="Y1956" s="61"/>
      <c r="Z1956" s="61"/>
    </row>
    <row r="1957" spans="1:26" ht="13">
      <c r="A1957" s="61"/>
      <c r="B1957" s="61"/>
      <c r="C1957" s="61"/>
      <c r="D1957" s="61"/>
      <c r="E1957" s="61"/>
      <c r="F1957" s="61"/>
      <c r="G1957" s="179"/>
      <c r="H1957" s="61"/>
      <c r="I1957" s="61"/>
      <c r="J1957" s="61"/>
      <c r="K1957" s="61"/>
      <c r="L1957" s="61"/>
      <c r="M1957" s="61"/>
      <c r="N1957" s="61"/>
      <c r="O1957" s="61"/>
      <c r="P1957" s="61"/>
      <c r="Q1957" s="61"/>
      <c r="R1957" s="61"/>
      <c r="S1957" s="61"/>
      <c r="T1957" s="61"/>
      <c r="U1957" s="61"/>
      <c r="V1957" s="61"/>
      <c r="W1957" s="61"/>
      <c r="X1957" s="61"/>
      <c r="Y1957" s="61"/>
      <c r="Z1957" s="61"/>
    </row>
    <row r="1958" spans="1:26" ht="13">
      <c r="A1958" s="61"/>
      <c r="B1958" s="61"/>
      <c r="C1958" s="61"/>
      <c r="D1958" s="61"/>
      <c r="E1958" s="61"/>
      <c r="F1958" s="61"/>
      <c r="G1958" s="179"/>
      <c r="H1958" s="61"/>
      <c r="I1958" s="61"/>
      <c r="J1958" s="61"/>
      <c r="K1958" s="61"/>
      <c r="L1958" s="61"/>
      <c r="M1958" s="61"/>
      <c r="N1958" s="61"/>
      <c r="O1958" s="61"/>
      <c r="P1958" s="61"/>
      <c r="Q1958" s="61"/>
      <c r="R1958" s="61"/>
      <c r="S1958" s="61"/>
      <c r="T1958" s="61"/>
      <c r="U1958" s="61"/>
      <c r="V1958" s="61"/>
      <c r="W1958" s="61"/>
      <c r="X1958" s="61"/>
      <c r="Y1958" s="61"/>
      <c r="Z1958" s="61"/>
    </row>
    <row r="1959" spans="1:26" ht="13">
      <c r="A1959" s="61"/>
      <c r="B1959" s="61"/>
      <c r="C1959" s="61"/>
      <c r="D1959" s="61"/>
      <c r="E1959" s="61"/>
      <c r="F1959" s="61"/>
      <c r="G1959" s="179"/>
      <c r="H1959" s="61"/>
      <c r="I1959" s="61"/>
      <c r="J1959" s="61"/>
      <c r="K1959" s="61"/>
      <c r="L1959" s="61"/>
      <c r="M1959" s="61"/>
      <c r="N1959" s="61"/>
      <c r="O1959" s="61"/>
      <c r="P1959" s="61"/>
      <c r="Q1959" s="61"/>
      <c r="R1959" s="61"/>
      <c r="S1959" s="61"/>
      <c r="T1959" s="61"/>
      <c r="U1959" s="61"/>
      <c r="V1959" s="61"/>
      <c r="W1959" s="61"/>
      <c r="X1959" s="61"/>
      <c r="Y1959" s="61"/>
      <c r="Z1959" s="61"/>
    </row>
    <row r="1960" spans="1:26" ht="13">
      <c r="A1960" s="61"/>
      <c r="B1960" s="61"/>
      <c r="C1960" s="61"/>
      <c r="D1960" s="61"/>
      <c r="E1960" s="61"/>
      <c r="F1960" s="61"/>
      <c r="G1960" s="179"/>
      <c r="H1960" s="61"/>
      <c r="I1960" s="61"/>
      <c r="J1960" s="61"/>
      <c r="K1960" s="61"/>
      <c r="L1960" s="61"/>
      <c r="M1960" s="61"/>
      <c r="N1960" s="61"/>
      <c r="O1960" s="61"/>
      <c r="P1960" s="61"/>
      <c r="Q1960" s="61"/>
      <c r="R1960" s="61"/>
      <c r="S1960" s="61"/>
      <c r="T1960" s="61"/>
      <c r="U1960" s="61"/>
      <c r="V1960" s="61"/>
      <c r="W1960" s="61"/>
      <c r="X1960" s="61"/>
      <c r="Y1960" s="61"/>
      <c r="Z1960" s="61"/>
    </row>
    <row r="1961" spans="1:26" ht="13">
      <c r="A1961" s="61"/>
      <c r="B1961" s="61"/>
      <c r="C1961" s="61"/>
      <c r="D1961" s="61"/>
      <c r="E1961" s="61"/>
      <c r="F1961" s="61"/>
      <c r="G1961" s="179"/>
      <c r="H1961" s="61"/>
      <c r="I1961" s="61"/>
      <c r="J1961" s="61"/>
      <c r="K1961" s="61"/>
      <c r="L1961" s="61"/>
      <c r="M1961" s="61"/>
      <c r="N1961" s="61"/>
      <c r="O1961" s="61"/>
      <c r="P1961" s="61"/>
      <c r="Q1961" s="61"/>
      <c r="R1961" s="61"/>
      <c r="S1961" s="61"/>
      <c r="T1961" s="61"/>
      <c r="U1961" s="61"/>
      <c r="V1961" s="61"/>
      <c r="W1961" s="61"/>
      <c r="X1961" s="61"/>
      <c r="Y1961" s="61"/>
      <c r="Z1961" s="61"/>
    </row>
    <row r="1962" spans="1:26" ht="13">
      <c r="A1962" s="61"/>
      <c r="B1962" s="61"/>
      <c r="C1962" s="61"/>
      <c r="D1962" s="61"/>
      <c r="E1962" s="61"/>
      <c r="F1962" s="61"/>
      <c r="G1962" s="179"/>
      <c r="H1962" s="61"/>
      <c r="I1962" s="61"/>
      <c r="J1962" s="61"/>
      <c r="K1962" s="61"/>
      <c r="L1962" s="61"/>
      <c r="M1962" s="61"/>
      <c r="N1962" s="61"/>
      <c r="O1962" s="61"/>
      <c r="P1962" s="61"/>
      <c r="Q1962" s="61"/>
      <c r="R1962" s="61"/>
      <c r="S1962" s="61"/>
      <c r="T1962" s="61"/>
      <c r="U1962" s="61"/>
      <c r="V1962" s="61"/>
      <c r="W1962" s="61"/>
      <c r="X1962" s="61"/>
      <c r="Y1962" s="61"/>
      <c r="Z1962" s="61"/>
    </row>
    <row r="1963" spans="1:26" ht="13">
      <c r="A1963" s="61"/>
      <c r="B1963" s="61"/>
      <c r="C1963" s="61"/>
      <c r="D1963" s="61"/>
      <c r="E1963" s="61"/>
      <c r="F1963" s="61"/>
      <c r="G1963" s="179"/>
      <c r="H1963" s="61"/>
      <c r="I1963" s="61"/>
      <c r="J1963" s="61"/>
      <c r="K1963" s="61"/>
      <c r="L1963" s="61"/>
      <c r="M1963" s="61"/>
      <c r="N1963" s="61"/>
      <c r="O1963" s="61"/>
      <c r="P1963" s="61"/>
      <c r="Q1963" s="61"/>
      <c r="R1963" s="61"/>
      <c r="S1963" s="61"/>
      <c r="T1963" s="61"/>
      <c r="U1963" s="61"/>
      <c r="V1963" s="61"/>
      <c r="W1963" s="61"/>
      <c r="X1963" s="61"/>
      <c r="Y1963" s="61"/>
      <c r="Z1963" s="61"/>
    </row>
    <row r="1964" spans="1:26" ht="13">
      <c r="A1964" s="61"/>
      <c r="B1964" s="61"/>
      <c r="C1964" s="61"/>
      <c r="D1964" s="61"/>
      <c r="E1964" s="61"/>
      <c r="F1964" s="61"/>
      <c r="G1964" s="179"/>
      <c r="H1964" s="61"/>
      <c r="I1964" s="61"/>
      <c r="J1964" s="61"/>
      <c r="K1964" s="61"/>
      <c r="L1964" s="61"/>
      <c r="M1964" s="61"/>
      <c r="N1964" s="61"/>
      <c r="O1964" s="61"/>
      <c r="P1964" s="61"/>
      <c r="Q1964" s="61"/>
      <c r="R1964" s="61"/>
      <c r="S1964" s="61"/>
      <c r="T1964" s="61"/>
      <c r="U1964" s="61"/>
      <c r="V1964" s="61"/>
      <c r="W1964" s="61"/>
      <c r="X1964" s="61"/>
      <c r="Y1964" s="61"/>
      <c r="Z1964" s="61"/>
    </row>
    <row r="1965" spans="1:26" ht="13">
      <c r="A1965" s="61"/>
      <c r="B1965" s="61"/>
      <c r="C1965" s="61"/>
      <c r="D1965" s="61"/>
      <c r="E1965" s="61"/>
      <c r="F1965" s="61"/>
      <c r="G1965" s="179"/>
      <c r="H1965" s="61"/>
      <c r="I1965" s="61"/>
      <c r="J1965" s="61"/>
      <c r="K1965" s="61"/>
      <c r="L1965" s="61"/>
      <c r="M1965" s="61"/>
      <c r="N1965" s="61"/>
      <c r="O1965" s="61"/>
      <c r="P1965" s="61"/>
      <c r="Q1965" s="61"/>
      <c r="R1965" s="61"/>
      <c r="S1965" s="61"/>
      <c r="T1965" s="61"/>
      <c r="U1965" s="61"/>
      <c r="V1965" s="61"/>
      <c r="W1965" s="61"/>
      <c r="X1965" s="61"/>
      <c r="Y1965" s="61"/>
      <c r="Z1965" s="61"/>
    </row>
    <row r="1966" spans="1:26" ht="13">
      <c r="A1966" s="61"/>
      <c r="B1966" s="61"/>
      <c r="C1966" s="61"/>
      <c r="D1966" s="61"/>
      <c r="E1966" s="61"/>
      <c r="F1966" s="61"/>
      <c r="G1966" s="179"/>
      <c r="H1966" s="61"/>
      <c r="I1966" s="61"/>
      <c r="J1966" s="61"/>
      <c r="K1966" s="61"/>
      <c r="L1966" s="61"/>
      <c r="M1966" s="61"/>
      <c r="N1966" s="61"/>
      <c r="O1966" s="61"/>
      <c r="P1966" s="61"/>
      <c r="Q1966" s="61"/>
      <c r="R1966" s="61"/>
      <c r="S1966" s="61"/>
      <c r="T1966" s="61"/>
      <c r="U1966" s="61"/>
      <c r="V1966" s="61"/>
      <c r="W1966" s="61"/>
      <c r="X1966" s="61"/>
      <c r="Y1966" s="61"/>
      <c r="Z1966" s="61"/>
    </row>
    <row r="1967" spans="1:26" ht="13">
      <c r="A1967" s="61"/>
      <c r="B1967" s="61"/>
      <c r="C1967" s="61"/>
      <c r="D1967" s="61"/>
      <c r="E1967" s="61"/>
      <c r="F1967" s="61"/>
      <c r="G1967" s="179"/>
      <c r="H1967" s="61"/>
      <c r="I1967" s="61"/>
      <c r="J1967" s="61"/>
      <c r="K1967" s="61"/>
      <c r="L1967" s="61"/>
      <c r="M1967" s="61"/>
      <c r="N1967" s="61"/>
      <c r="O1967" s="61"/>
      <c r="P1967" s="61"/>
      <c r="Q1967" s="61"/>
      <c r="R1967" s="61"/>
      <c r="S1967" s="61"/>
      <c r="T1967" s="61"/>
      <c r="U1967" s="61"/>
      <c r="V1967" s="61"/>
      <c r="W1967" s="61"/>
      <c r="X1967" s="61"/>
      <c r="Y1967" s="61"/>
      <c r="Z1967" s="61"/>
    </row>
    <row r="1968" spans="1:26" ht="13">
      <c r="A1968" s="61"/>
      <c r="B1968" s="61"/>
      <c r="C1968" s="61"/>
      <c r="D1968" s="61"/>
      <c r="E1968" s="61"/>
      <c r="F1968" s="61"/>
      <c r="G1968" s="179"/>
      <c r="H1968" s="61"/>
      <c r="I1968" s="61"/>
      <c r="J1968" s="61"/>
      <c r="K1968" s="61"/>
      <c r="L1968" s="61"/>
      <c r="M1968" s="61"/>
      <c r="N1968" s="61"/>
      <c r="O1968" s="61"/>
      <c r="P1968" s="61"/>
      <c r="Q1968" s="61"/>
      <c r="R1968" s="61"/>
      <c r="S1968" s="61"/>
      <c r="T1968" s="61"/>
      <c r="U1968" s="61"/>
      <c r="V1968" s="61"/>
      <c r="W1968" s="61"/>
      <c r="X1968" s="61"/>
      <c r="Y1968" s="61"/>
      <c r="Z1968" s="61"/>
    </row>
    <row r="1969" spans="1:26" ht="13">
      <c r="A1969" s="61"/>
      <c r="B1969" s="61"/>
      <c r="C1969" s="61"/>
      <c r="D1969" s="61"/>
      <c r="E1969" s="61"/>
      <c r="F1969" s="61"/>
      <c r="G1969" s="179"/>
      <c r="H1969" s="61"/>
      <c r="I1969" s="61"/>
      <c r="J1969" s="61"/>
      <c r="K1969" s="61"/>
      <c r="L1969" s="61"/>
      <c r="M1969" s="61"/>
      <c r="N1969" s="61"/>
      <c r="O1969" s="61"/>
      <c r="P1969" s="61"/>
      <c r="Q1969" s="61"/>
      <c r="R1969" s="61"/>
      <c r="S1969" s="61"/>
      <c r="T1969" s="61"/>
      <c r="U1969" s="61"/>
      <c r="V1969" s="61"/>
      <c r="W1969" s="61"/>
      <c r="X1969" s="61"/>
      <c r="Y1969" s="61"/>
      <c r="Z1969" s="61"/>
    </row>
    <row r="1970" spans="1:26" ht="13">
      <c r="A1970" s="61"/>
      <c r="B1970" s="61"/>
      <c r="C1970" s="61"/>
      <c r="D1970" s="61"/>
      <c r="E1970" s="61"/>
      <c r="F1970" s="61"/>
      <c r="G1970" s="179"/>
      <c r="H1970" s="61"/>
      <c r="I1970" s="61"/>
      <c r="J1970" s="61"/>
      <c r="K1970" s="61"/>
      <c r="L1970" s="61"/>
      <c r="M1970" s="61"/>
      <c r="N1970" s="61"/>
      <c r="O1970" s="61"/>
      <c r="P1970" s="61"/>
      <c r="Q1970" s="61"/>
      <c r="R1970" s="61"/>
      <c r="S1970" s="61"/>
      <c r="T1970" s="61"/>
      <c r="U1970" s="61"/>
      <c r="V1970" s="61"/>
      <c r="W1970" s="61"/>
      <c r="X1970" s="61"/>
      <c r="Y1970" s="61"/>
      <c r="Z1970" s="61"/>
    </row>
    <row r="1971" spans="1:26" ht="13">
      <c r="A1971" s="61"/>
      <c r="B1971" s="61"/>
      <c r="C1971" s="61"/>
      <c r="D1971" s="61"/>
      <c r="E1971" s="61"/>
      <c r="F1971" s="61"/>
      <c r="G1971" s="179"/>
      <c r="H1971" s="61"/>
      <c r="I1971" s="61"/>
      <c r="J1971" s="61"/>
      <c r="K1971" s="61"/>
      <c r="L1971" s="61"/>
      <c r="M1971" s="61"/>
      <c r="N1971" s="61"/>
      <c r="O1971" s="61"/>
      <c r="P1971" s="61"/>
      <c r="Q1971" s="61"/>
      <c r="R1971" s="61"/>
      <c r="S1971" s="61"/>
      <c r="T1971" s="61"/>
      <c r="U1971" s="61"/>
      <c r="V1971" s="61"/>
      <c r="W1971" s="61"/>
      <c r="X1971" s="61"/>
      <c r="Y1971" s="61"/>
      <c r="Z1971" s="61"/>
    </row>
    <row r="1972" spans="1:26" ht="13">
      <c r="A1972" s="61"/>
      <c r="B1972" s="61"/>
      <c r="C1972" s="61"/>
      <c r="D1972" s="61"/>
      <c r="E1972" s="61"/>
      <c r="F1972" s="61"/>
      <c r="G1972" s="179"/>
      <c r="H1972" s="61"/>
      <c r="I1972" s="61"/>
      <c r="J1972" s="61"/>
      <c r="K1972" s="61"/>
      <c r="L1972" s="61"/>
      <c r="M1972" s="61"/>
      <c r="N1972" s="61"/>
      <c r="O1972" s="61"/>
      <c r="P1972" s="61"/>
      <c r="Q1972" s="61"/>
      <c r="R1972" s="61"/>
      <c r="S1972" s="61"/>
      <c r="T1972" s="61"/>
      <c r="U1972" s="61"/>
      <c r="V1972" s="61"/>
      <c r="W1972" s="61"/>
      <c r="X1972" s="61"/>
      <c r="Y1972" s="61"/>
      <c r="Z1972" s="61"/>
    </row>
    <row r="1973" spans="1:26" ht="13">
      <c r="A1973" s="61"/>
      <c r="B1973" s="61"/>
      <c r="C1973" s="61"/>
      <c r="D1973" s="61"/>
      <c r="E1973" s="61"/>
      <c r="F1973" s="61"/>
      <c r="G1973" s="179"/>
      <c r="H1973" s="61"/>
      <c r="I1973" s="61"/>
      <c r="J1973" s="61"/>
      <c r="K1973" s="61"/>
      <c r="L1973" s="61"/>
      <c r="M1973" s="61"/>
      <c r="N1973" s="61"/>
      <c r="O1973" s="61"/>
      <c r="P1973" s="61"/>
      <c r="Q1973" s="61"/>
      <c r="R1973" s="61"/>
      <c r="S1973" s="61"/>
      <c r="T1973" s="61"/>
      <c r="U1973" s="61"/>
      <c r="V1973" s="61"/>
      <c r="W1973" s="61"/>
      <c r="X1973" s="61"/>
      <c r="Y1973" s="61"/>
      <c r="Z1973" s="61"/>
    </row>
    <row r="1974" spans="1:26" ht="13">
      <c r="A1974" s="61"/>
      <c r="B1974" s="61"/>
      <c r="C1974" s="61"/>
      <c r="D1974" s="61"/>
      <c r="E1974" s="61"/>
      <c r="F1974" s="61"/>
      <c r="G1974" s="179"/>
      <c r="H1974" s="61"/>
      <c r="I1974" s="61"/>
      <c r="J1974" s="61"/>
      <c r="K1974" s="61"/>
      <c r="L1974" s="61"/>
      <c r="M1974" s="61"/>
      <c r="N1974" s="61"/>
      <c r="O1974" s="61"/>
      <c r="P1974" s="61"/>
      <c r="Q1974" s="61"/>
      <c r="R1974" s="61"/>
      <c r="S1974" s="61"/>
      <c r="T1974" s="61"/>
      <c r="U1974" s="61"/>
      <c r="V1974" s="61"/>
      <c r="W1974" s="61"/>
      <c r="X1974" s="61"/>
      <c r="Y1974" s="61"/>
      <c r="Z1974" s="61"/>
    </row>
    <row r="1975" spans="1:26" ht="13">
      <c r="A1975" s="61"/>
      <c r="B1975" s="61"/>
      <c r="C1975" s="61"/>
      <c r="D1975" s="61"/>
      <c r="E1975" s="61"/>
      <c r="F1975" s="61"/>
      <c r="G1975" s="179"/>
      <c r="H1975" s="61"/>
      <c r="I1975" s="61"/>
      <c r="J1975" s="61"/>
      <c r="K1975" s="61"/>
      <c r="L1975" s="61"/>
      <c r="M1975" s="61"/>
      <c r="N1975" s="61"/>
      <c r="O1975" s="61"/>
      <c r="P1975" s="61"/>
      <c r="Q1975" s="61"/>
      <c r="R1975" s="61"/>
      <c r="S1975" s="61"/>
      <c r="T1975" s="61"/>
      <c r="U1975" s="61"/>
      <c r="V1975" s="61"/>
      <c r="W1975" s="61"/>
      <c r="X1975" s="61"/>
      <c r="Y1975" s="61"/>
      <c r="Z1975" s="61"/>
    </row>
    <row r="1976" spans="1:26" ht="13">
      <c r="A1976" s="61"/>
      <c r="B1976" s="61"/>
      <c r="C1976" s="61"/>
      <c r="D1976" s="61"/>
      <c r="E1976" s="61"/>
      <c r="F1976" s="61"/>
      <c r="G1976" s="179"/>
      <c r="H1976" s="61"/>
      <c r="I1976" s="61"/>
      <c r="J1976" s="61"/>
      <c r="K1976" s="61"/>
      <c r="L1976" s="61"/>
      <c r="M1976" s="61"/>
      <c r="N1976" s="61"/>
      <c r="O1976" s="61"/>
      <c r="P1976" s="61"/>
      <c r="Q1976" s="61"/>
      <c r="R1976" s="61"/>
      <c r="S1976" s="61"/>
      <c r="T1976" s="61"/>
      <c r="U1976" s="61"/>
      <c r="V1976" s="61"/>
      <c r="W1976" s="61"/>
      <c r="X1976" s="61"/>
      <c r="Y1976" s="61"/>
      <c r="Z1976" s="61"/>
    </row>
    <row r="1977" spans="1:26" ht="13">
      <c r="A1977" s="61"/>
      <c r="B1977" s="61"/>
      <c r="C1977" s="61"/>
      <c r="D1977" s="61"/>
      <c r="E1977" s="61"/>
      <c r="F1977" s="61"/>
      <c r="G1977" s="179"/>
      <c r="H1977" s="61"/>
      <c r="I1977" s="61"/>
      <c r="J1977" s="61"/>
      <c r="K1977" s="61"/>
      <c r="L1977" s="61"/>
      <c r="M1977" s="61"/>
      <c r="N1977" s="61"/>
      <c r="O1977" s="61"/>
      <c r="P1977" s="61"/>
      <c r="Q1977" s="61"/>
      <c r="R1977" s="61"/>
      <c r="S1977" s="61"/>
      <c r="T1977" s="61"/>
      <c r="U1977" s="61"/>
      <c r="V1977" s="61"/>
      <c r="W1977" s="61"/>
      <c r="X1977" s="61"/>
      <c r="Y1977" s="61"/>
      <c r="Z1977" s="61"/>
    </row>
    <row r="1978" spans="1:26" ht="13">
      <c r="A1978" s="61"/>
      <c r="B1978" s="61"/>
      <c r="C1978" s="61"/>
      <c r="D1978" s="61"/>
      <c r="E1978" s="61"/>
      <c r="F1978" s="61"/>
      <c r="G1978" s="179"/>
      <c r="H1978" s="61"/>
      <c r="I1978" s="61"/>
      <c r="J1978" s="61"/>
      <c r="K1978" s="61"/>
      <c r="L1978" s="61"/>
      <c r="M1978" s="61"/>
      <c r="N1978" s="61"/>
      <c r="O1978" s="61"/>
      <c r="P1978" s="61"/>
      <c r="Q1978" s="61"/>
      <c r="R1978" s="61"/>
      <c r="S1978" s="61"/>
      <c r="T1978" s="61"/>
      <c r="U1978" s="61"/>
      <c r="V1978" s="61"/>
      <c r="W1978" s="61"/>
      <c r="X1978" s="61"/>
      <c r="Y1978" s="61"/>
      <c r="Z1978" s="61"/>
    </row>
    <row r="1979" spans="1:26" ht="13">
      <c r="A1979" s="61"/>
      <c r="B1979" s="61"/>
      <c r="C1979" s="61"/>
      <c r="D1979" s="61"/>
      <c r="E1979" s="61"/>
      <c r="F1979" s="61"/>
      <c r="G1979" s="179"/>
      <c r="H1979" s="61"/>
      <c r="I1979" s="61"/>
      <c r="J1979" s="61"/>
      <c r="K1979" s="61"/>
      <c r="L1979" s="61"/>
      <c r="M1979" s="61"/>
      <c r="N1979" s="61"/>
      <c r="O1979" s="61"/>
      <c r="P1979" s="61"/>
      <c r="Q1979" s="61"/>
      <c r="R1979" s="61"/>
      <c r="S1979" s="61"/>
      <c r="T1979" s="61"/>
      <c r="U1979" s="61"/>
      <c r="V1979" s="61"/>
      <c r="W1979" s="61"/>
      <c r="X1979" s="61"/>
      <c r="Y1979" s="61"/>
      <c r="Z1979" s="61"/>
    </row>
    <row r="1980" spans="1:26" ht="13">
      <c r="A1980" s="61"/>
      <c r="B1980" s="61"/>
      <c r="C1980" s="61"/>
      <c r="D1980" s="61"/>
      <c r="E1980" s="61"/>
      <c r="F1980" s="61"/>
      <c r="G1980" s="179"/>
      <c r="H1980" s="61"/>
      <c r="I1980" s="61"/>
      <c r="J1980" s="61"/>
      <c r="K1980" s="61"/>
      <c r="L1980" s="61"/>
      <c r="M1980" s="61"/>
      <c r="N1980" s="61"/>
      <c r="O1980" s="61"/>
      <c r="P1980" s="61"/>
      <c r="Q1980" s="61"/>
      <c r="R1980" s="61"/>
      <c r="S1980" s="61"/>
      <c r="T1980" s="61"/>
      <c r="U1980" s="61"/>
      <c r="V1980" s="61"/>
      <c r="W1980" s="61"/>
      <c r="X1980" s="61"/>
      <c r="Y1980" s="61"/>
      <c r="Z1980" s="61"/>
    </row>
    <row r="1981" spans="1:26" ht="13">
      <c r="A1981" s="61"/>
      <c r="B1981" s="61"/>
      <c r="C1981" s="61"/>
      <c r="D1981" s="61"/>
      <c r="E1981" s="61"/>
      <c r="F1981" s="61"/>
      <c r="G1981" s="179"/>
      <c r="H1981" s="61"/>
      <c r="I1981" s="61"/>
      <c r="J1981" s="61"/>
      <c r="K1981" s="61"/>
      <c r="L1981" s="61"/>
      <c r="M1981" s="61"/>
      <c r="N1981" s="61"/>
      <c r="O1981" s="61"/>
      <c r="P1981" s="61"/>
      <c r="Q1981" s="61"/>
      <c r="R1981" s="61"/>
      <c r="S1981" s="61"/>
      <c r="T1981" s="61"/>
      <c r="U1981" s="61"/>
      <c r="V1981" s="61"/>
      <c r="W1981" s="61"/>
      <c r="X1981" s="61"/>
      <c r="Y1981" s="61"/>
      <c r="Z1981" s="61"/>
    </row>
    <row r="1982" spans="1:26" ht="13">
      <c r="A1982" s="61"/>
      <c r="B1982" s="61"/>
      <c r="C1982" s="61"/>
      <c r="D1982" s="61"/>
      <c r="E1982" s="61"/>
      <c r="F1982" s="61"/>
      <c r="G1982" s="179"/>
      <c r="H1982" s="61"/>
      <c r="I1982" s="61"/>
      <c r="J1982" s="61"/>
      <c r="K1982" s="61"/>
      <c r="L1982" s="61"/>
      <c r="M1982" s="61"/>
      <c r="N1982" s="61"/>
      <c r="O1982" s="61"/>
      <c r="P1982" s="61"/>
      <c r="Q1982" s="61"/>
      <c r="R1982" s="61"/>
      <c r="S1982" s="61"/>
      <c r="T1982" s="61"/>
      <c r="U1982" s="61"/>
      <c r="V1982" s="61"/>
      <c r="W1982" s="61"/>
      <c r="X1982" s="61"/>
      <c r="Y1982" s="61"/>
      <c r="Z1982" s="61"/>
    </row>
    <row r="1983" spans="1:26" ht="13">
      <c r="A1983" s="61"/>
      <c r="B1983" s="61"/>
      <c r="C1983" s="61"/>
      <c r="D1983" s="61"/>
      <c r="E1983" s="61"/>
      <c r="F1983" s="61"/>
      <c r="G1983" s="179"/>
      <c r="H1983" s="61"/>
      <c r="I1983" s="61"/>
      <c r="J1983" s="61"/>
      <c r="K1983" s="61"/>
      <c r="L1983" s="61"/>
      <c r="M1983" s="61"/>
      <c r="N1983" s="61"/>
      <c r="O1983" s="61"/>
      <c r="P1983" s="61"/>
      <c r="Q1983" s="61"/>
      <c r="R1983" s="61"/>
      <c r="S1983" s="61"/>
      <c r="T1983" s="61"/>
      <c r="U1983" s="61"/>
      <c r="V1983" s="61"/>
      <c r="W1983" s="61"/>
      <c r="X1983" s="61"/>
      <c r="Y1983" s="61"/>
      <c r="Z1983" s="61"/>
    </row>
    <row r="1984" spans="1:26" ht="13">
      <c r="A1984" s="61"/>
      <c r="B1984" s="61"/>
      <c r="C1984" s="61"/>
      <c r="D1984" s="61"/>
      <c r="E1984" s="61"/>
      <c r="F1984" s="61"/>
      <c r="G1984" s="179"/>
      <c r="H1984" s="61"/>
      <c r="I1984" s="61"/>
      <c r="J1984" s="61"/>
      <c r="K1984" s="61"/>
      <c r="L1984" s="61"/>
      <c r="M1984" s="61"/>
      <c r="N1984" s="61"/>
      <c r="O1984" s="61"/>
      <c r="P1984" s="61"/>
      <c r="Q1984" s="61"/>
      <c r="R1984" s="61"/>
      <c r="S1984" s="61"/>
      <c r="T1984" s="61"/>
      <c r="U1984" s="61"/>
      <c r="V1984" s="61"/>
      <c r="W1984" s="61"/>
      <c r="X1984" s="61"/>
      <c r="Y1984" s="61"/>
      <c r="Z1984" s="61"/>
    </row>
    <row r="1985" spans="1:26" ht="13">
      <c r="A1985" s="61"/>
      <c r="B1985" s="61"/>
      <c r="C1985" s="61"/>
      <c r="D1985" s="61"/>
      <c r="E1985" s="61"/>
      <c r="F1985" s="61"/>
      <c r="G1985" s="179"/>
      <c r="H1985" s="61"/>
      <c r="I1985" s="61"/>
      <c r="J1985" s="61"/>
      <c r="K1985" s="61"/>
      <c r="L1985" s="61"/>
      <c r="M1985" s="61"/>
      <c r="N1985" s="61"/>
      <c r="O1985" s="61"/>
      <c r="P1985" s="61"/>
      <c r="Q1985" s="61"/>
      <c r="R1985" s="61"/>
      <c r="S1985" s="61"/>
      <c r="T1985" s="61"/>
      <c r="U1985" s="61"/>
      <c r="V1985" s="61"/>
      <c r="W1985" s="61"/>
      <c r="X1985" s="61"/>
      <c r="Y1985" s="61"/>
      <c r="Z1985" s="61"/>
    </row>
    <row r="1986" spans="1:26" ht="13">
      <c r="A1986" s="61"/>
      <c r="B1986" s="61"/>
      <c r="C1986" s="61"/>
      <c r="D1986" s="61"/>
      <c r="E1986" s="61"/>
      <c r="F1986" s="61"/>
      <c r="G1986" s="179"/>
      <c r="H1986" s="61"/>
      <c r="I1986" s="61"/>
      <c r="J1986" s="61"/>
      <c r="K1986" s="61"/>
      <c r="L1986" s="61"/>
      <c r="M1986" s="61"/>
      <c r="N1986" s="61"/>
      <c r="O1986" s="61"/>
      <c r="P1986" s="61"/>
      <c r="Q1986" s="61"/>
      <c r="R1986" s="61"/>
      <c r="S1986" s="61"/>
      <c r="T1986" s="61"/>
      <c r="U1986" s="61"/>
      <c r="V1986" s="61"/>
      <c r="W1986" s="61"/>
      <c r="X1986" s="61"/>
      <c r="Y1986" s="61"/>
      <c r="Z1986" s="61"/>
    </row>
    <row r="1987" spans="1:26" ht="13">
      <c r="A1987" s="61"/>
      <c r="B1987" s="61"/>
      <c r="C1987" s="61"/>
      <c r="D1987" s="61"/>
      <c r="E1987" s="61"/>
      <c r="F1987" s="61"/>
      <c r="G1987" s="179"/>
      <c r="H1987" s="61"/>
      <c r="I1987" s="61"/>
      <c r="J1987" s="61"/>
      <c r="K1987" s="61"/>
      <c r="L1987" s="61"/>
      <c r="M1987" s="61"/>
      <c r="N1987" s="61"/>
      <c r="O1987" s="61"/>
      <c r="P1987" s="61"/>
      <c r="Q1987" s="61"/>
      <c r="R1987" s="61"/>
      <c r="S1987" s="61"/>
      <c r="T1987" s="61"/>
      <c r="U1987" s="61"/>
      <c r="V1987" s="61"/>
      <c r="W1987" s="61"/>
      <c r="X1987" s="61"/>
      <c r="Y1987" s="61"/>
      <c r="Z1987" s="61"/>
    </row>
    <row r="1988" spans="1:26" ht="13">
      <c r="A1988" s="61"/>
      <c r="B1988" s="61"/>
      <c r="C1988" s="61"/>
      <c r="D1988" s="61"/>
      <c r="E1988" s="61"/>
      <c r="F1988" s="61"/>
      <c r="G1988" s="179"/>
      <c r="H1988" s="61"/>
      <c r="I1988" s="61"/>
      <c r="J1988" s="61"/>
      <c r="K1988" s="61"/>
      <c r="L1988" s="61"/>
      <c r="M1988" s="61"/>
      <c r="N1988" s="61"/>
      <c r="O1988" s="61"/>
      <c r="P1988" s="61"/>
      <c r="Q1988" s="61"/>
      <c r="R1988" s="61"/>
      <c r="S1988" s="61"/>
      <c r="T1988" s="61"/>
      <c r="U1988" s="61"/>
      <c r="V1988" s="61"/>
      <c r="W1988" s="61"/>
      <c r="X1988" s="61"/>
      <c r="Y1988" s="61"/>
      <c r="Z1988" s="61"/>
    </row>
    <row r="1989" spans="1:26" ht="13">
      <c r="A1989" s="61"/>
      <c r="B1989" s="61"/>
      <c r="C1989" s="61"/>
      <c r="D1989" s="61"/>
      <c r="E1989" s="61"/>
      <c r="F1989" s="61"/>
      <c r="G1989" s="179"/>
      <c r="H1989" s="61"/>
      <c r="I1989" s="61"/>
      <c r="J1989" s="61"/>
      <c r="K1989" s="61"/>
      <c r="L1989" s="61"/>
      <c r="M1989" s="61"/>
      <c r="N1989" s="61"/>
      <c r="O1989" s="61"/>
      <c r="P1989" s="61"/>
      <c r="Q1989" s="61"/>
      <c r="R1989" s="61"/>
      <c r="S1989" s="61"/>
      <c r="T1989" s="61"/>
      <c r="U1989" s="61"/>
      <c r="V1989" s="61"/>
      <c r="W1989" s="61"/>
      <c r="X1989" s="61"/>
      <c r="Y1989" s="61"/>
      <c r="Z1989" s="61"/>
    </row>
    <row r="1990" spans="1:26" ht="13">
      <c r="A1990" s="61"/>
      <c r="B1990" s="61"/>
      <c r="C1990" s="61"/>
      <c r="D1990" s="61"/>
      <c r="E1990" s="61"/>
      <c r="F1990" s="61"/>
      <c r="G1990" s="179"/>
      <c r="H1990" s="61"/>
      <c r="I1990" s="61"/>
      <c r="J1990" s="61"/>
      <c r="K1990" s="61"/>
      <c r="L1990" s="61"/>
      <c r="M1990" s="61"/>
      <c r="N1990" s="61"/>
      <c r="O1990" s="61"/>
      <c r="P1990" s="61"/>
      <c r="Q1990" s="61"/>
      <c r="R1990" s="61"/>
      <c r="S1990" s="61"/>
      <c r="T1990" s="61"/>
      <c r="U1990" s="61"/>
      <c r="V1990" s="61"/>
      <c r="W1990" s="61"/>
      <c r="X1990" s="61"/>
      <c r="Y1990" s="61"/>
      <c r="Z1990" s="61"/>
    </row>
    <row r="1991" spans="1:26" ht="13">
      <c r="A1991" s="61"/>
      <c r="B1991" s="61"/>
      <c r="C1991" s="61"/>
      <c r="D1991" s="61"/>
      <c r="E1991" s="61"/>
      <c r="F1991" s="61"/>
      <c r="G1991" s="179"/>
      <c r="H1991" s="61"/>
      <c r="I1991" s="61"/>
      <c r="J1991" s="61"/>
      <c r="K1991" s="61"/>
      <c r="L1991" s="61"/>
      <c r="M1991" s="61"/>
      <c r="N1991" s="61"/>
      <c r="O1991" s="61"/>
      <c r="P1991" s="61"/>
      <c r="Q1991" s="61"/>
      <c r="R1991" s="61"/>
      <c r="S1991" s="61"/>
      <c r="T1991" s="61"/>
      <c r="U1991" s="61"/>
      <c r="V1991" s="61"/>
      <c r="W1991" s="61"/>
      <c r="X1991" s="61"/>
      <c r="Y1991" s="61"/>
      <c r="Z1991" s="61"/>
    </row>
    <row r="1992" spans="1:26" ht="13">
      <c r="A1992" s="61"/>
      <c r="B1992" s="61"/>
      <c r="C1992" s="61"/>
      <c r="D1992" s="61"/>
      <c r="E1992" s="61"/>
      <c r="F1992" s="61"/>
      <c r="G1992" s="179"/>
      <c r="H1992" s="61"/>
      <c r="I1992" s="61"/>
      <c r="J1992" s="61"/>
      <c r="K1992" s="61"/>
      <c r="L1992" s="61"/>
      <c r="M1992" s="61"/>
      <c r="N1992" s="61"/>
      <c r="O1992" s="61"/>
      <c r="P1992" s="61"/>
      <c r="Q1992" s="61"/>
      <c r="R1992" s="61"/>
      <c r="S1992" s="61"/>
      <c r="T1992" s="61"/>
      <c r="U1992" s="61"/>
      <c r="V1992" s="61"/>
      <c r="W1992" s="61"/>
      <c r="X1992" s="61"/>
      <c r="Y1992" s="61"/>
      <c r="Z1992" s="61"/>
    </row>
    <row r="1993" spans="1:26" ht="13">
      <c r="A1993" s="61"/>
      <c r="B1993" s="61"/>
      <c r="C1993" s="61"/>
      <c r="D1993" s="61"/>
      <c r="E1993" s="61"/>
      <c r="F1993" s="61"/>
      <c r="G1993" s="179"/>
      <c r="H1993" s="61"/>
      <c r="I1993" s="61"/>
      <c r="J1993" s="61"/>
      <c r="K1993" s="61"/>
      <c r="L1993" s="61"/>
      <c r="M1993" s="61"/>
      <c r="N1993" s="61"/>
      <c r="O1993" s="61"/>
      <c r="P1993" s="61"/>
      <c r="Q1993" s="61"/>
      <c r="R1993" s="61"/>
      <c r="S1993" s="61"/>
      <c r="T1993" s="61"/>
      <c r="U1993" s="61"/>
      <c r="V1993" s="61"/>
      <c r="W1993" s="61"/>
      <c r="X1993" s="61"/>
      <c r="Y1993" s="61"/>
      <c r="Z1993" s="61"/>
    </row>
    <row r="1994" spans="1:26" ht="13">
      <c r="A1994" s="61"/>
      <c r="B1994" s="61"/>
      <c r="C1994" s="61"/>
      <c r="D1994" s="61"/>
      <c r="E1994" s="61"/>
      <c r="F1994" s="61"/>
      <c r="G1994" s="179"/>
      <c r="H1994" s="61"/>
      <c r="I1994" s="61"/>
      <c r="J1994" s="61"/>
      <c r="K1994" s="61"/>
      <c r="L1994" s="61"/>
      <c r="M1994" s="61"/>
      <c r="N1994" s="61"/>
      <c r="O1994" s="61"/>
      <c r="P1994" s="61"/>
      <c r="Q1994" s="61"/>
      <c r="R1994" s="61"/>
      <c r="S1994" s="61"/>
      <c r="T1994" s="61"/>
      <c r="U1994" s="61"/>
      <c r="V1994" s="61"/>
      <c r="W1994" s="61"/>
      <c r="X1994" s="61"/>
      <c r="Y1994" s="61"/>
      <c r="Z1994" s="61"/>
    </row>
    <row r="1995" spans="1:26" ht="13">
      <c r="A1995" s="61"/>
      <c r="B1995" s="61"/>
      <c r="C1995" s="61"/>
      <c r="D1995" s="61"/>
      <c r="E1995" s="61"/>
      <c r="F1995" s="61"/>
      <c r="G1995" s="179"/>
      <c r="H1995" s="61"/>
      <c r="I1995" s="61"/>
      <c r="J1995" s="61"/>
      <c r="K1995" s="61"/>
      <c r="L1995" s="61"/>
      <c r="M1995" s="61"/>
      <c r="N1995" s="61"/>
      <c r="O1995" s="61"/>
      <c r="P1995" s="61"/>
      <c r="Q1995" s="61"/>
      <c r="R1995" s="61"/>
      <c r="S1995" s="61"/>
      <c r="T1995" s="61"/>
      <c r="U1995" s="61"/>
      <c r="V1995" s="61"/>
      <c r="W1995" s="61"/>
      <c r="X1995" s="61"/>
      <c r="Y1995" s="61"/>
      <c r="Z1995" s="61"/>
    </row>
    <row r="1996" spans="1:26" ht="13">
      <c r="A1996" s="61"/>
      <c r="B1996" s="61"/>
      <c r="C1996" s="61"/>
      <c r="D1996" s="61"/>
      <c r="E1996" s="61"/>
      <c r="F1996" s="61"/>
      <c r="G1996" s="179"/>
      <c r="H1996" s="61"/>
      <c r="I1996" s="61"/>
      <c r="J1996" s="61"/>
      <c r="K1996" s="61"/>
      <c r="L1996" s="61"/>
      <c r="M1996" s="61"/>
      <c r="N1996" s="61"/>
      <c r="O1996" s="61"/>
      <c r="P1996" s="61"/>
      <c r="Q1996" s="61"/>
      <c r="R1996" s="61"/>
      <c r="S1996" s="61"/>
      <c r="T1996" s="61"/>
      <c r="U1996" s="61"/>
      <c r="V1996" s="61"/>
      <c r="W1996" s="61"/>
      <c r="X1996" s="61"/>
      <c r="Y1996" s="61"/>
      <c r="Z1996" s="61"/>
    </row>
    <row r="1997" spans="1:26" ht="13">
      <c r="A1997" s="61"/>
      <c r="B1997" s="61"/>
      <c r="C1997" s="61"/>
      <c r="D1997" s="61"/>
      <c r="E1997" s="61"/>
      <c r="F1997" s="61"/>
      <c r="G1997" s="179"/>
      <c r="H1997" s="61"/>
      <c r="I1997" s="61"/>
      <c r="J1997" s="61"/>
      <c r="K1997" s="61"/>
      <c r="L1997" s="61"/>
      <c r="M1997" s="61"/>
      <c r="N1997" s="61"/>
      <c r="O1997" s="61"/>
      <c r="P1997" s="61"/>
      <c r="Q1997" s="61"/>
      <c r="R1997" s="61"/>
      <c r="S1997" s="61"/>
      <c r="T1997" s="61"/>
      <c r="U1997" s="61"/>
      <c r="V1997" s="61"/>
      <c r="W1997" s="61"/>
      <c r="X1997" s="61"/>
      <c r="Y1997" s="61"/>
      <c r="Z1997" s="61"/>
    </row>
    <row r="1998" spans="1:26" ht="13">
      <c r="A1998" s="61"/>
      <c r="B1998" s="61"/>
      <c r="C1998" s="61"/>
      <c r="D1998" s="61"/>
      <c r="E1998" s="61"/>
      <c r="F1998" s="61"/>
      <c r="G1998" s="179"/>
      <c r="H1998" s="61"/>
      <c r="I1998" s="61"/>
      <c r="J1998" s="61"/>
      <c r="K1998" s="61"/>
      <c r="L1998" s="61"/>
      <c r="M1998" s="61"/>
      <c r="N1998" s="61"/>
      <c r="O1998" s="61"/>
      <c r="P1998" s="61"/>
      <c r="Q1998" s="61"/>
      <c r="R1998" s="61"/>
      <c r="S1998" s="61"/>
      <c r="T1998" s="61"/>
      <c r="U1998" s="61"/>
      <c r="V1998" s="61"/>
      <c r="W1998" s="61"/>
      <c r="X1998" s="61"/>
      <c r="Y1998" s="61"/>
      <c r="Z1998" s="61"/>
    </row>
    <row r="1999" spans="1:26" ht="13">
      <c r="A1999" s="61"/>
      <c r="B1999" s="61"/>
      <c r="C1999" s="61"/>
      <c r="D1999" s="61"/>
      <c r="E1999" s="61"/>
      <c r="F1999" s="61"/>
      <c r="G1999" s="179"/>
      <c r="H1999" s="61"/>
      <c r="I1999" s="61"/>
      <c r="J1999" s="61"/>
      <c r="K1999" s="61"/>
      <c r="L1999" s="61"/>
      <c r="M1999" s="61"/>
      <c r="N1999" s="61"/>
      <c r="O1999" s="61"/>
      <c r="P1999" s="61"/>
      <c r="Q1999" s="61"/>
      <c r="R1999" s="61"/>
      <c r="S1999" s="61"/>
      <c r="T1999" s="61"/>
      <c r="U1999" s="61"/>
      <c r="V1999" s="61"/>
      <c r="W1999" s="61"/>
      <c r="X1999" s="61"/>
      <c r="Y1999" s="61"/>
      <c r="Z1999" s="61"/>
    </row>
    <row r="2000" spans="1:26" ht="13">
      <c r="A2000" s="61"/>
      <c r="B2000" s="61"/>
      <c r="C2000" s="61"/>
      <c r="D2000" s="61"/>
      <c r="E2000" s="61"/>
      <c r="F2000" s="61"/>
      <c r="G2000" s="179"/>
      <c r="H2000" s="61"/>
      <c r="I2000" s="61"/>
      <c r="J2000" s="61"/>
      <c r="K2000" s="61"/>
      <c r="L2000" s="61"/>
      <c r="M2000" s="61"/>
      <c r="N2000" s="61"/>
      <c r="O2000" s="61"/>
      <c r="P2000" s="61"/>
      <c r="Q2000" s="61"/>
      <c r="R2000" s="61"/>
      <c r="S2000" s="61"/>
      <c r="T2000" s="61"/>
      <c r="U2000" s="61"/>
      <c r="V2000" s="61"/>
      <c r="W2000" s="61"/>
      <c r="X2000" s="61"/>
      <c r="Y2000" s="61"/>
      <c r="Z2000" s="61"/>
    </row>
    <row r="2001" spans="1:26" ht="13">
      <c r="A2001" s="61"/>
      <c r="B2001" s="61"/>
      <c r="C2001" s="61"/>
      <c r="D2001" s="61"/>
      <c r="E2001" s="61"/>
      <c r="F2001" s="61"/>
      <c r="G2001" s="179"/>
      <c r="H2001" s="61"/>
      <c r="I2001" s="61"/>
      <c r="J2001" s="61"/>
      <c r="K2001" s="61"/>
      <c r="L2001" s="61"/>
      <c r="M2001" s="61"/>
      <c r="N2001" s="61"/>
      <c r="O2001" s="61"/>
      <c r="P2001" s="61"/>
      <c r="Q2001" s="61"/>
      <c r="R2001" s="61"/>
      <c r="S2001" s="61"/>
      <c r="T2001" s="61"/>
      <c r="U2001" s="61"/>
      <c r="V2001" s="61"/>
      <c r="W2001" s="61"/>
      <c r="X2001" s="61"/>
      <c r="Y2001" s="61"/>
      <c r="Z2001" s="61"/>
    </row>
    <row r="2002" spans="1:26" ht="13">
      <c r="A2002" s="61"/>
      <c r="B2002" s="61"/>
      <c r="C2002" s="61"/>
      <c r="D2002" s="61"/>
      <c r="E2002" s="61"/>
      <c r="F2002" s="61"/>
      <c r="G2002" s="179"/>
      <c r="H2002" s="61"/>
      <c r="I2002" s="61"/>
      <c r="J2002" s="61"/>
      <c r="K2002" s="61"/>
      <c r="L2002" s="61"/>
      <c r="M2002" s="61"/>
      <c r="N2002" s="61"/>
      <c r="O2002" s="61"/>
      <c r="P2002" s="61"/>
      <c r="Q2002" s="61"/>
      <c r="R2002" s="61"/>
      <c r="S2002" s="61"/>
      <c r="T2002" s="61"/>
      <c r="U2002" s="61"/>
      <c r="V2002" s="61"/>
      <c r="W2002" s="61"/>
      <c r="X2002" s="61"/>
      <c r="Y2002" s="61"/>
      <c r="Z2002" s="61"/>
    </row>
    <row r="2003" spans="1:26" ht="13">
      <c r="A2003" s="61"/>
      <c r="B2003" s="61"/>
      <c r="C2003" s="61"/>
      <c r="D2003" s="61"/>
      <c r="E2003" s="61"/>
      <c r="F2003" s="61"/>
      <c r="G2003" s="179"/>
      <c r="H2003" s="61"/>
      <c r="I2003" s="61"/>
      <c r="J2003" s="61"/>
      <c r="K2003" s="61"/>
      <c r="L2003" s="61"/>
      <c r="M2003" s="61"/>
      <c r="N2003" s="61"/>
      <c r="O2003" s="61"/>
      <c r="P2003" s="61"/>
      <c r="Q2003" s="61"/>
      <c r="R2003" s="61"/>
      <c r="S2003" s="61"/>
      <c r="T2003" s="61"/>
      <c r="U2003" s="61"/>
      <c r="V2003" s="61"/>
      <c r="W2003" s="61"/>
      <c r="X2003" s="61"/>
      <c r="Y2003" s="61"/>
      <c r="Z2003" s="61"/>
    </row>
    <row r="2004" spans="1:26" ht="13">
      <c r="A2004" s="61"/>
      <c r="B2004" s="61"/>
      <c r="C2004" s="61"/>
      <c r="D2004" s="61"/>
      <c r="E2004" s="61"/>
      <c r="F2004" s="61"/>
      <c r="G2004" s="179"/>
      <c r="H2004" s="61"/>
      <c r="I2004" s="61"/>
      <c r="J2004" s="61"/>
      <c r="K2004" s="61"/>
      <c r="L2004" s="61"/>
      <c r="M2004" s="61"/>
      <c r="N2004" s="61"/>
      <c r="O2004" s="61"/>
      <c r="P2004" s="61"/>
      <c r="Q2004" s="61"/>
      <c r="R2004" s="61"/>
      <c r="S2004" s="61"/>
      <c r="T2004" s="61"/>
      <c r="U2004" s="61"/>
      <c r="V2004" s="61"/>
      <c r="W2004" s="61"/>
      <c r="X2004" s="61"/>
      <c r="Y2004" s="61"/>
      <c r="Z2004" s="61"/>
    </row>
    <row r="2005" spans="1:26" ht="13">
      <c r="A2005" s="61"/>
      <c r="B2005" s="61"/>
      <c r="C2005" s="61"/>
      <c r="D2005" s="61"/>
      <c r="E2005" s="61"/>
      <c r="F2005" s="61"/>
      <c r="G2005" s="179"/>
      <c r="H2005" s="61"/>
      <c r="I2005" s="61"/>
      <c r="J2005" s="61"/>
      <c r="K2005" s="61"/>
      <c r="L2005" s="61"/>
      <c r="M2005" s="61"/>
      <c r="N2005" s="61"/>
      <c r="O2005" s="61"/>
      <c r="P2005" s="61"/>
      <c r="Q2005" s="61"/>
      <c r="R2005" s="61"/>
      <c r="S2005" s="61"/>
      <c r="T2005" s="61"/>
      <c r="U2005" s="61"/>
      <c r="V2005" s="61"/>
      <c r="W2005" s="61"/>
      <c r="X2005" s="61"/>
      <c r="Y2005" s="61"/>
      <c r="Z2005" s="61"/>
    </row>
    <row r="2006" spans="1:26" ht="13">
      <c r="A2006" s="61"/>
      <c r="B2006" s="61"/>
      <c r="C2006" s="61"/>
      <c r="D2006" s="61"/>
      <c r="E2006" s="61"/>
      <c r="F2006" s="61"/>
      <c r="G2006" s="179"/>
      <c r="H2006" s="61"/>
      <c r="I2006" s="61"/>
      <c r="J2006" s="61"/>
      <c r="K2006" s="61"/>
      <c r="L2006" s="61"/>
      <c r="M2006" s="61"/>
      <c r="N2006" s="61"/>
      <c r="O2006" s="61"/>
      <c r="P2006" s="61"/>
      <c r="Q2006" s="61"/>
      <c r="R2006" s="61"/>
      <c r="S2006" s="61"/>
      <c r="T2006" s="61"/>
      <c r="U2006" s="61"/>
      <c r="V2006" s="61"/>
      <c r="W2006" s="61"/>
      <c r="X2006" s="61"/>
      <c r="Y2006" s="61"/>
      <c r="Z2006" s="61"/>
    </row>
    <row r="2007" spans="1:26" ht="13">
      <c r="A2007" s="61"/>
      <c r="B2007" s="61"/>
      <c r="C2007" s="61"/>
      <c r="D2007" s="61"/>
      <c r="E2007" s="61"/>
      <c r="F2007" s="61"/>
      <c r="G2007" s="179"/>
      <c r="H2007" s="61"/>
      <c r="I2007" s="61"/>
      <c r="J2007" s="61"/>
      <c r="K2007" s="61"/>
      <c r="L2007" s="61"/>
      <c r="M2007" s="61"/>
      <c r="N2007" s="61"/>
      <c r="O2007" s="61"/>
      <c r="P2007" s="61"/>
      <c r="Q2007" s="61"/>
      <c r="R2007" s="61"/>
      <c r="S2007" s="61"/>
      <c r="T2007" s="61"/>
      <c r="U2007" s="61"/>
      <c r="V2007" s="61"/>
      <c r="W2007" s="61"/>
      <c r="X2007" s="61"/>
      <c r="Y2007" s="61"/>
      <c r="Z2007" s="61"/>
    </row>
    <row r="2008" spans="1:26" ht="13">
      <c r="A2008" s="61"/>
      <c r="B2008" s="61"/>
      <c r="C2008" s="61"/>
      <c r="D2008" s="61"/>
      <c r="E2008" s="61"/>
      <c r="F2008" s="61"/>
      <c r="G2008" s="179"/>
      <c r="H2008" s="61"/>
      <c r="I2008" s="61"/>
      <c r="J2008" s="61"/>
      <c r="K2008" s="61"/>
      <c r="L2008" s="61"/>
      <c r="M2008" s="61"/>
      <c r="N2008" s="61"/>
      <c r="O2008" s="61"/>
      <c r="P2008" s="61"/>
      <c r="Q2008" s="61"/>
      <c r="R2008" s="61"/>
      <c r="S2008" s="61"/>
      <c r="T2008" s="61"/>
      <c r="U2008" s="61"/>
      <c r="V2008" s="61"/>
      <c r="W2008" s="61"/>
      <c r="X2008" s="61"/>
      <c r="Y2008" s="61"/>
      <c r="Z2008" s="61"/>
    </row>
    <row r="2009" spans="1:26" ht="13">
      <c r="A2009" s="61"/>
      <c r="B2009" s="61"/>
      <c r="C2009" s="61"/>
      <c r="D2009" s="61"/>
      <c r="E2009" s="61"/>
      <c r="F2009" s="61"/>
      <c r="G2009" s="179"/>
      <c r="H2009" s="61"/>
      <c r="I2009" s="61"/>
      <c r="J2009" s="61"/>
      <c r="K2009" s="61"/>
      <c r="L2009" s="61"/>
      <c r="M2009" s="61"/>
      <c r="N2009" s="61"/>
      <c r="O2009" s="61"/>
      <c r="P2009" s="61"/>
      <c r="Q2009" s="61"/>
      <c r="R2009" s="61"/>
      <c r="S2009" s="61"/>
      <c r="T2009" s="61"/>
      <c r="U2009" s="61"/>
      <c r="V2009" s="61"/>
      <c r="W2009" s="61"/>
      <c r="X2009" s="61"/>
      <c r="Y2009" s="61"/>
      <c r="Z2009" s="61"/>
    </row>
    <row r="2010" spans="1:26" ht="13">
      <c r="A2010" s="61"/>
      <c r="B2010" s="61"/>
      <c r="C2010" s="61"/>
      <c r="D2010" s="61"/>
      <c r="E2010" s="61"/>
      <c r="F2010" s="61"/>
      <c r="G2010" s="179"/>
      <c r="H2010" s="61"/>
      <c r="I2010" s="61"/>
      <c r="J2010" s="61"/>
      <c r="K2010" s="61"/>
      <c r="L2010" s="61"/>
      <c r="M2010" s="61"/>
      <c r="N2010" s="61"/>
      <c r="O2010" s="61"/>
      <c r="P2010" s="61"/>
      <c r="Q2010" s="61"/>
      <c r="R2010" s="61"/>
      <c r="S2010" s="61"/>
      <c r="T2010" s="61"/>
      <c r="U2010" s="61"/>
      <c r="V2010" s="61"/>
      <c r="W2010" s="61"/>
      <c r="X2010" s="61"/>
      <c r="Y2010" s="61"/>
      <c r="Z2010" s="61"/>
    </row>
    <row r="2011" spans="1:26" ht="13">
      <c r="A2011" s="61"/>
      <c r="B2011" s="61"/>
      <c r="C2011" s="61"/>
      <c r="D2011" s="61"/>
      <c r="E2011" s="61"/>
      <c r="F2011" s="61"/>
      <c r="G2011" s="179"/>
      <c r="H2011" s="61"/>
      <c r="I2011" s="61"/>
      <c r="J2011" s="61"/>
      <c r="K2011" s="61"/>
      <c r="L2011" s="61"/>
      <c r="M2011" s="61"/>
      <c r="N2011" s="61"/>
      <c r="O2011" s="61"/>
      <c r="P2011" s="61"/>
      <c r="Q2011" s="61"/>
      <c r="R2011" s="61"/>
      <c r="S2011" s="61"/>
      <c r="T2011" s="61"/>
      <c r="U2011" s="61"/>
      <c r="V2011" s="61"/>
      <c r="W2011" s="61"/>
      <c r="X2011" s="61"/>
      <c r="Y2011" s="61"/>
      <c r="Z2011" s="61"/>
    </row>
    <row r="2012" spans="1:26" ht="13">
      <c r="A2012" s="61"/>
      <c r="B2012" s="61"/>
      <c r="C2012" s="61"/>
      <c r="D2012" s="61"/>
      <c r="E2012" s="61"/>
      <c r="F2012" s="61"/>
      <c r="G2012" s="179"/>
      <c r="H2012" s="61"/>
      <c r="I2012" s="61"/>
      <c r="J2012" s="61"/>
      <c r="K2012" s="61"/>
      <c r="L2012" s="61"/>
      <c r="M2012" s="61"/>
      <c r="N2012" s="61"/>
      <c r="O2012" s="61"/>
      <c r="P2012" s="61"/>
      <c r="Q2012" s="61"/>
      <c r="R2012" s="61"/>
      <c r="S2012" s="61"/>
      <c r="T2012" s="61"/>
      <c r="U2012" s="61"/>
      <c r="V2012" s="61"/>
      <c r="W2012" s="61"/>
      <c r="X2012" s="61"/>
      <c r="Y2012" s="61"/>
      <c r="Z2012" s="61"/>
    </row>
    <row r="2013" spans="1:26" ht="13">
      <c r="A2013" s="61"/>
      <c r="B2013" s="61"/>
      <c r="C2013" s="61"/>
      <c r="D2013" s="61"/>
      <c r="E2013" s="61"/>
      <c r="F2013" s="61"/>
      <c r="G2013" s="179"/>
      <c r="H2013" s="61"/>
      <c r="I2013" s="61"/>
      <c r="J2013" s="61"/>
      <c r="K2013" s="61"/>
      <c r="L2013" s="61"/>
      <c r="M2013" s="61"/>
      <c r="N2013" s="61"/>
      <c r="O2013" s="61"/>
      <c r="P2013" s="61"/>
      <c r="Q2013" s="61"/>
      <c r="R2013" s="61"/>
      <c r="S2013" s="61"/>
      <c r="T2013" s="61"/>
      <c r="U2013" s="61"/>
      <c r="V2013" s="61"/>
      <c r="W2013" s="61"/>
      <c r="X2013" s="61"/>
      <c r="Y2013" s="61"/>
      <c r="Z2013" s="61"/>
    </row>
    <row r="2014" spans="1:26" ht="13">
      <c r="A2014" s="61"/>
      <c r="B2014" s="61"/>
      <c r="C2014" s="61"/>
      <c r="D2014" s="61"/>
      <c r="E2014" s="61"/>
      <c r="F2014" s="61"/>
      <c r="G2014" s="179"/>
      <c r="H2014" s="61"/>
      <c r="I2014" s="61"/>
      <c r="J2014" s="61"/>
      <c r="K2014" s="61"/>
      <c r="L2014" s="61"/>
      <c r="M2014" s="61"/>
      <c r="N2014" s="61"/>
      <c r="O2014" s="61"/>
      <c r="P2014" s="61"/>
      <c r="Q2014" s="61"/>
      <c r="R2014" s="61"/>
      <c r="S2014" s="61"/>
      <c r="T2014" s="61"/>
      <c r="U2014" s="61"/>
      <c r="V2014" s="61"/>
      <c r="W2014" s="61"/>
      <c r="X2014" s="61"/>
      <c r="Y2014" s="61"/>
      <c r="Z2014" s="61"/>
    </row>
    <row r="2015" spans="1:26" ht="13">
      <c r="A2015" s="61"/>
      <c r="B2015" s="61"/>
      <c r="C2015" s="61"/>
      <c r="D2015" s="61"/>
      <c r="E2015" s="61"/>
      <c r="F2015" s="61"/>
      <c r="G2015" s="179"/>
      <c r="H2015" s="61"/>
      <c r="I2015" s="61"/>
      <c r="J2015" s="61"/>
      <c r="K2015" s="61"/>
      <c r="L2015" s="61"/>
      <c r="M2015" s="61"/>
      <c r="N2015" s="61"/>
      <c r="O2015" s="61"/>
      <c r="P2015" s="61"/>
      <c r="Q2015" s="61"/>
      <c r="R2015" s="61"/>
      <c r="S2015" s="61"/>
      <c r="T2015" s="61"/>
      <c r="U2015" s="61"/>
      <c r="V2015" s="61"/>
      <c r="W2015" s="61"/>
      <c r="X2015" s="61"/>
      <c r="Y2015" s="61"/>
      <c r="Z2015" s="61"/>
    </row>
    <row r="2016" spans="1:26" ht="13">
      <c r="A2016" s="61"/>
      <c r="B2016" s="61"/>
      <c r="C2016" s="61"/>
      <c r="D2016" s="61"/>
      <c r="E2016" s="61"/>
      <c r="F2016" s="61"/>
      <c r="G2016" s="179"/>
      <c r="H2016" s="61"/>
      <c r="I2016" s="61"/>
      <c r="J2016" s="61"/>
      <c r="K2016" s="61"/>
      <c r="L2016" s="61"/>
      <c r="M2016" s="61"/>
      <c r="N2016" s="61"/>
      <c r="O2016" s="61"/>
      <c r="P2016" s="61"/>
      <c r="Q2016" s="61"/>
      <c r="R2016" s="61"/>
      <c r="S2016" s="61"/>
      <c r="T2016" s="61"/>
      <c r="U2016" s="61"/>
      <c r="V2016" s="61"/>
      <c r="W2016" s="61"/>
      <c r="X2016" s="61"/>
      <c r="Y2016" s="61"/>
      <c r="Z2016" s="61"/>
    </row>
    <row r="2017" spans="1:26" ht="13">
      <c r="A2017" s="61"/>
      <c r="B2017" s="61"/>
      <c r="C2017" s="61"/>
      <c r="D2017" s="61"/>
      <c r="E2017" s="61"/>
      <c r="F2017" s="61"/>
      <c r="G2017" s="179"/>
      <c r="H2017" s="61"/>
      <c r="I2017" s="61"/>
      <c r="J2017" s="61"/>
      <c r="K2017" s="61"/>
      <c r="L2017" s="61"/>
      <c r="M2017" s="61"/>
      <c r="N2017" s="61"/>
      <c r="O2017" s="61"/>
      <c r="P2017" s="61"/>
      <c r="Q2017" s="61"/>
      <c r="R2017" s="61"/>
      <c r="S2017" s="61"/>
      <c r="T2017" s="61"/>
      <c r="U2017" s="61"/>
      <c r="V2017" s="61"/>
      <c r="W2017" s="61"/>
      <c r="X2017" s="61"/>
      <c r="Y2017" s="61"/>
      <c r="Z2017" s="61"/>
    </row>
    <row r="2018" spans="1:26" ht="13">
      <c r="A2018" s="61"/>
      <c r="B2018" s="61"/>
      <c r="C2018" s="61"/>
      <c r="D2018" s="61"/>
      <c r="E2018" s="61"/>
      <c r="F2018" s="61"/>
      <c r="G2018" s="179"/>
      <c r="H2018" s="61"/>
      <c r="I2018" s="61"/>
      <c r="J2018" s="61"/>
      <c r="K2018" s="61"/>
      <c r="L2018" s="61"/>
      <c r="M2018" s="61"/>
      <c r="N2018" s="61"/>
      <c r="O2018" s="61"/>
      <c r="P2018" s="61"/>
      <c r="Q2018" s="61"/>
      <c r="R2018" s="61"/>
      <c r="S2018" s="61"/>
      <c r="T2018" s="61"/>
      <c r="U2018" s="61"/>
      <c r="V2018" s="61"/>
      <c r="W2018" s="61"/>
      <c r="X2018" s="61"/>
      <c r="Y2018" s="61"/>
      <c r="Z2018" s="61"/>
    </row>
  </sheetData>
  <autoFilter ref="A4:J465" xr:uid="{00000000-0009-0000-0000-000002000000}"/>
  <customSheetViews>
    <customSheetView guid="{5998820B-B1D1-491C-BBB2-7E8D11E91892}" filter="1" showAutoFilter="1">
      <pageMargins left="0.7" right="0.7" top="0.75" bottom="0.75" header="0.3" footer="0.3"/>
      <autoFilter ref="A1:I465" xr:uid="{00000000-0000-0000-0000-000000000000}"/>
    </customSheetView>
  </customSheetViews>
  <mergeCells count="3">
    <mergeCell ref="E1:F1"/>
    <mergeCell ref="E2:F2"/>
    <mergeCell ref="G267:H267"/>
  </mergeCells>
  <conditionalFormatting sqref="A350">
    <cfRule type="notContainsBlanks" dxfId="0" priority="1">
      <formula>LEN(TRIM(A350))&gt;0</formula>
    </cfRule>
  </conditionalFormatting>
  <dataValidations count="1">
    <dataValidation type="list" allowBlank="1" sqref="I5:I400 J401 I402 J403 I404:I2018" xr:uid="{00000000-0002-0000-0200-000000000000}">
      <formula1>$V:$V</formula1>
    </dataValidation>
  </dataValidations>
  <hyperlinks>
    <hyperlink ref="G5" r:id="rId1" xr:uid="{00000000-0004-0000-0200-000000000000}"/>
    <hyperlink ref="G6" r:id="rId2" xr:uid="{00000000-0004-0000-0200-000001000000}"/>
    <hyperlink ref="G7" r:id="rId3" xr:uid="{00000000-0004-0000-0200-000002000000}"/>
    <hyperlink ref="G8" r:id="rId4" xr:uid="{00000000-0004-0000-0200-000003000000}"/>
    <hyperlink ref="G9" r:id="rId5" xr:uid="{00000000-0004-0000-0200-000004000000}"/>
    <hyperlink ref="G10" r:id="rId6" xr:uid="{00000000-0004-0000-0200-000005000000}"/>
    <hyperlink ref="G11" r:id="rId7" xr:uid="{00000000-0004-0000-0200-000006000000}"/>
    <hyperlink ref="G12" r:id="rId8" xr:uid="{00000000-0004-0000-0200-000007000000}"/>
    <hyperlink ref="G13" r:id="rId9" xr:uid="{00000000-0004-0000-0200-000008000000}"/>
    <hyperlink ref="G14" r:id="rId10" xr:uid="{00000000-0004-0000-0200-000009000000}"/>
    <hyperlink ref="G15" r:id="rId11" xr:uid="{00000000-0004-0000-0200-00000A000000}"/>
    <hyperlink ref="D21" r:id="rId12" xr:uid="{00000000-0004-0000-0200-00000B000000}"/>
    <hyperlink ref="G21" r:id="rId13" xr:uid="{00000000-0004-0000-0200-00000C000000}"/>
    <hyperlink ref="D22" r:id="rId14" xr:uid="{00000000-0004-0000-0200-00000D000000}"/>
    <hyperlink ref="G22" r:id="rId15" xr:uid="{00000000-0004-0000-0200-00000E000000}"/>
    <hyperlink ref="D23" r:id="rId16" xr:uid="{00000000-0004-0000-0200-00000F000000}"/>
    <hyperlink ref="G23" r:id="rId17" xr:uid="{00000000-0004-0000-0200-000010000000}"/>
    <hyperlink ref="D24" r:id="rId18" xr:uid="{00000000-0004-0000-0200-000011000000}"/>
    <hyperlink ref="G24" r:id="rId19" xr:uid="{00000000-0004-0000-0200-000012000000}"/>
    <hyperlink ref="D25" r:id="rId20" xr:uid="{00000000-0004-0000-0200-000013000000}"/>
    <hyperlink ref="G25" r:id="rId21" xr:uid="{00000000-0004-0000-0200-000014000000}"/>
    <hyperlink ref="D26" r:id="rId22" xr:uid="{00000000-0004-0000-0200-000015000000}"/>
    <hyperlink ref="G26" r:id="rId23" xr:uid="{00000000-0004-0000-0200-000016000000}"/>
    <hyperlink ref="D27" r:id="rId24" xr:uid="{00000000-0004-0000-0200-000017000000}"/>
    <hyperlink ref="G27" r:id="rId25" xr:uid="{00000000-0004-0000-0200-000018000000}"/>
    <hyperlink ref="D28" r:id="rId26" xr:uid="{00000000-0004-0000-0200-000019000000}"/>
    <hyperlink ref="G28" r:id="rId27" xr:uid="{00000000-0004-0000-0200-00001A000000}"/>
    <hyperlink ref="D29" r:id="rId28" xr:uid="{00000000-0004-0000-0200-00001B000000}"/>
    <hyperlink ref="G29" r:id="rId29" xr:uid="{00000000-0004-0000-0200-00001C000000}"/>
    <hyperlink ref="D30" r:id="rId30" xr:uid="{00000000-0004-0000-0200-00001D000000}"/>
    <hyperlink ref="G30" r:id="rId31" xr:uid="{00000000-0004-0000-0200-00001E000000}"/>
    <hyperlink ref="D31" r:id="rId32" xr:uid="{00000000-0004-0000-0200-00001F000000}"/>
    <hyperlink ref="G31" r:id="rId33" xr:uid="{00000000-0004-0000-0200-000020000000}"/>
    <hyperlink ref="G32" r:id="rId34" xr:uid="{00000000-0004-0000-0200-000021000000}"/>
    <hyperlink ref="G36" r:id="rId35" xr:uid="{00000000-0004-0000-0200-000022000000}"/>
    <hyperlink ref="G37" r:id="rId36" xr:uid="{00000000-0004-0000-0200-000023000000}"/>
    <hyperlink ref="G38" r:id="rId37" xr:uid="{00000000-0004-0000-0200-000024000000}"/>
    <hyperlink ref="G40" r:id="rId38" xr:uid="{00000000-0004-0000-0200-000025000000}"/>
    <hyperlink ref="G41" r:id="rId39" xr:uid="{00000000-0004-0000-0200-000026000000}"/>
    <hyperlink ref="G42" r:id="rId40" xr:uid="{00000000-0004-0000-0200-000027000000}"/>
    <hyperlink ref="G43" r:id="rId41" xr:uid="{00000000-0004-0000-0200-000028000000}"/>
    <hyperlink ref="G44" r:id="rId42" xr:uid="{00000000-0004-0000-0200-000029000000}"/>
    <hyperlink ref="G45" r:id="rId43" xr:uid="{00000000-0004-0000-0200-00002A000000}"/>
    <hyperlink ref="G46" r:id="rId44" xr:uid="{00000000-0004-0000-0200-00002B000000}"/>
    <hyperlink ref="G47" r:id="rId45" xr:uid="{00000000-0004-0000-0200-00002C000000}"/>
    <hyperlink ref="G48" r:id="rId46" xr:uid="{00000000-0004-0000-0200-00002D000000}"/>
    <hyperlink ref="B49" r:id="rId47" xr:uid="{00000000-0004-0000-0200-00002E000000}"/>
    <hyperlink ref="C49" r:id="rId48" xr:uid="{00000000-0004-0000-0200-00002F000000}"/>
    <hyperlink ref="G49" r:id="rId49" xr:uid="{00000000-0004-0000-0200-000030000000}"/>
    <hyperlink ref="G50" r:id="rId50" xr:uid="{00000000-0004-0000-0200-000031000000}"/>
    <hyperlink ref="G51" r:id="rId51" xr:uid="{00000000-0004-0000-0200-000032000000}"/>
    <hyperlink ref="G52" r:id="rId52" xr:uid="{00000000-0004-0000-0200-000033000000}"/>
    <hyperlink ref="G53" r:id="rId53" xr:uid="{00000000-0004-0000-0200-000034000000}"/>
    <hyperlink ref="H53" r:id="rId54" xr:uid="{00000000-0004-0000-0200-000035000000}"/>
    <hyperlink ref="G54" r:id="rId55" xr:uid="{00000000-0004-0000-0200-000036000000}"/>
    <hyperlink ref="G55" r:id="rId56" xr:uid="{00000000-0004-0000-0200-000037000000}"/>
    <hyperlink ref="G56" r:id="rId57" xr:uid="{00000000-0004-0000-0200-000038000000}"/>
    <hyperlink ref="G57" r:id="rId58" xr:uid="{00000000-0004-0000-0200-000039000000}"/>
    <hyperlink ref="G58" r:id="rId59" xr:uid="{00000000-0004-0000-0200-00003A000000}"/>
    <hyperlink ref="G59" r:id="rId60" xr:uid="{00000000-0004-0000-0200-00003B000000}"/>
    <hyperlink ref="G60" r:id="rId61" xr:uid="{00000000-0004-0000-0200-00003C000000}"/>
    <hyperlink ref="G61" r:id="rId62" xr:uid="{00000000-0004-0000-0200-00003D000000}"/>
    <hyperlink ref="G62" r:id="rId63" xr:uid="{00000000-0004-0000-0200-00003E000000}"/>
    <hyperlink ref="G63" r:id="rId64" xr:uid="{00000000-0004-0000-0200-00003F000000}"/>
    <hyperlink ref="G64" r:id="rId65" xr:uid="{00000000-0004-0000-0200-000040000000}"/>
    <hyperlink ref="G65" r:id="rId66" xr:uid="{00000000-0004-0000-0200-000041000000}"/>
    <hyperlink ref="G66" r:id="rId67" xr:uid="{00000000-0004-0000-0200-000042000000}"/>
    <hyperlink ref="G67" r:id="rId68" xr:uid="{00000000-0004-0000-0200-000043000000}"/>
    <hyperlink ref="G68" r:id="rId69" xr:uid="{00000000-0004-0000-0200-000044000000}"/>
    <hyperlink ref="G75" r:id="rId70" xr:uid="{00000000-0004-0000-0200-000045000000}"/>
    <hyperlink ref="G76" r:id="rId71" xr:uid="{00000000-0004-0000-0200-000046000000}"/>
    <hyperlink ref="G77" r:id="rId72" xr:uid="{00000000-0004-0000-0200-000047000000}"/>
    <hyperlink ref="G78" r:id="rId73" xr:uid="{00000000-0004-0000-0200-000048000000}"/>
    <hyperlink ref="G79" r:id="rId74" xr:uid="{00000000-0004-0000-0200-000049000000}"/>
    <hyperlink ref="G80" r:id="rId75" xr:uid="{00000000-0004-0000-0200-00004A000000}"/>
    <hyperlink ref="G81" r:id="rId76" xr:uid="{00000000-0004-0000-0200-00004B000000}"/>
    <hyperlink ref="G82" r:id="rId77" xr:uid="{00000000-0004-0000-0200-00004C000000}"/>
    <hyperlink ref="G83" r:id="rId78" xr:uid="{00000000-0004-0000-0200-00004D000000}"/>
    <hyperlink ref="G84" r:id="rId79" xr:uid="{00000000-0004-0000-0200-00004E000000}"/>
    <hyperlink ref="G85" r:id="rId80" xr:uid="{00000000-0004-0000-0200-00004F000000}"/>
    <hyperlink ref="G86" r:id="rId81" xr:uid="{00000000-0004-0000-0200-000050000000}"/>
    <hyperlink ref="G87" r:id="rId82" xr:uid="{00000000-0004-0000-0200-000051000000}"/>
    <hyperlink ref="G88" r:id="rId83" xr:uid="{00000000-0004-0000-0200-000052000000}"/>
    <hyperlink ref="G89" r:id="rId84" xr:uid="{00000000-0004-0000-0200-000053000000}"/>
    <hyperlink ref="G90" r:id="rId85" xr:uid="{00000000-0004-0000-0200-000054000000}"/>
    <hyperlink ref="G91" r:id="rId86" xr:uid="{00000000-0004-0000-0200-000055000000}"/>
    <hyperlink ref="G92" r:id="rId87" xr:uid="{00000000-0004-0000-0200-000056000000}"/>
    <hyperlink ref="G93" r:id="rId88" xr:uid="{00000000-0004-0000-0200-000057000000}"/>
    <hyperlink ref="G94" r:id="rId89" xr:uid="{00000000-0004-0000-0200-000058000000}"/>
    <hyperlink ref="G95" r:id="rId90" xr:uid="{00000000-0004-0000-0200-000059000000}"/>
    <hyperlink ref="G96" r:id="rId91" xr:uid="{00000000-0004-0000-0200-00005A000000}"/>
    <hyperlink ref="G97" r:id="rId92" xr:uid="{00000000-0004-0000-0200-00005B000000}"/>
    <hyperlink ref="G98" r:id="rId93" xr:uid="{00000000-0004-0000-0200-00005C000000}"/>
    <hyperlink ref="G99" r:id="rId94" xr:uid="{00000000-0004-0000-0200-00005D000000}"/>
    <hyperlink ref="G100" r:id="rId95" xr:uid="{00000000-0004-0000-0200-00005E000000}"/>
    <hyperlink ref="G101" r:id="rId96" xr:uid="{00000000-0004-0000-0200-00005F000000}"/>
    <hyperlink ref="G102" r:id="rId97" xr:uid="{00000000-0004-0000-0200-000060000000}"/>
    <hyperlink ref="G103" r:id="rId98" xr:uid="{00000000-0004-0000-0200-000061000000}"/>
    <hyperlink ref="G104" r:id="rId99" xr:uid="{00000000-0004-0000-0200-000062000000}"/>
    <hyperlink ref="G105" r:id="rId100" xr:uid="{00000000-0004-0000-0200-000063000000}"/>
    <hyperlink ref="G107" r:id="rId101" xr:uid="{00000000-0004-0000-0200-000064000000}"/>
    <hyperlink ref="G108" r:id="rId102" xr:uid="{00000000-0004-0000-0200-000065000000}"/>
    <hyperlink ref="G109" r:id="rId103" xr:uid="{00000000-0004-0000-0200-000066000000}"/>
    <hyperlink ref="G110" r:id="rId104" xr:uid="{00000000-0004-0000-0200-000067000000}"/>
    <hyperlink ref="G111" r:id="rId105" xr:uid="{00000000-0004-0000-0200-000068000000}"/>
    <hyperlink ref="G113" r:id="rId106" xr:uid="{00000000-0004-0000-0200-000069000000}"/>
    <hyperlink ref="G116" r:id="rId107" xr:uid="{00000000-0004-0000-0200-00006A000000}"/>
    <hyperlink ref="G118" r:id="rId108" xr:uid="{00000000-0004-0000-0200-00006B000000}"/>
    <hyperlink ref="G119" r:id="rId109" xr:uid="{00000000-0004-0000-0200-00006C000000}"/>
    <hyperlink ref="G123" r:id="rId110" xr:uid="{00000000-0004-0000-0200-00006D000000}"/>
    <hyperlink ref="G124" r:id="rId111" location="jobs/view?id=2f0333501175" xr:uid="{00000000-0004-0000-0200-00006E000000}"/>
    <hyperlink ref="G126" r:id="rId112" xr:uid="{00000000-0004-0000-0200-00006F000000}"/>
    <hyperlink ref="G127" r:id="rId113" xr:uid="{00000000-0004-0000-0200-000070000000}"/>
    <hyperlink ref="G128" r:id="rId114" xr:uid="{00000000-0004-0000-0200-000071000000}"/>
    <hyperlink ref="G129" r:id="rId115" xr:uid="{00000000-0004-0000-0200-000072000000}"/>
    <hyperlink ref="G130" r:id="rId116" xr:uid="{00000000-0004-0000-0200-000073000000}"/>
    <hyperlink ref="G131" r:id="rId117" xr:uid="{00000000-0004-0000-0200-000074000000}"/>
    <hyperlink ref="G132" r:id="rId118" xr:uid="{00000000-0004-0000-0200-000075000000}"/>
    <hyperlink ref="G133" r:id="rId119" xr:uid="{00000000-0004-0000-0200-000076000000}"/>
    <hyperlink ref="G134" r:id="rId120" xr:uid="{00000000-0004-0000-0200-000077000000}"/>
    <hyperlink ref="G139" r:id="rId121" location="careers" xr:uid="{00000000-0004-0000-0200-000078000000}"/>
    <hyperlink ref="G140" r:id="rId122" location="careers" xr:uid="{00000000-0004-0000-0200-000079000000}"/>
    <hyperlink ref="G144" r:id="rId123" xr:uid="{00000000-0004-0000-0200-00007A000000}"/>
    <hyperlink ref="G145" r:id="rId124" xr:uid="{00000000-0004-0000-0200-00007B000000}"/>
    <hyperlink ref="G147" r:id="rId125" xr:uid="{00000000-0004-0000-0200-00007C000000}"/>
    <hyperlink ref="G148" r:id="rId126" xr:uid="{00000000-0004-0000-0200-00007D000000}"/>
    <hyperlink ref="G149" r:id="rId127" xr:uid="{00000000-0004-0000-0200-00007E000000}"/>
    <hyperlink ref="G150" r:id="rId128" xr:uid="{00000000-0004-0000-0200-00007F000000}"/>
    <hyperlink ref="G151" r:id="rId129" xr:uid="{00000000-0004-0000-0200-000080000000}"/>
    <hyperlink ref="G153" r:id="rId130" xr:uid="{00000000-0004-0000-0200-000081000000}"/>
    <hyperlink ref="D158" r:id="rId131" xr:uid="{00000000-0004-0000-0200-000082000000}"/>
    <hyperlink ref="G158" r:id="rId132" xr:uid="{00000000-0004-0000-0200-000083000000}"/>
    <hyperlink ref="D159" r:id="rId133" xr:uid="{00000000-0004-0000-0200-000084000000}"/>
    <hyperlink ref="G159" r:id="rId134" xr:uid="{00000000-0004-0000-0200-000085000000}"/>
    <hyperlink ref="D160" r:id="rId135" xr:uid="{00000000-0004-0000-0200-000086000000}"/>
    <hyperlink ref="G160" r:id="rId136" xr:uid="{00000000-0004-0000-0200-000087000000}"/>
    <hyperlink ref="D161" r:id="rId137" xr:uid="{00000000-0004-0000-0200-000088000000}"/>
    <hyperlink ref="G161" r:id="rId138" xr:uid="{00000000-0004-0000-0200-000089000000}"/>
    <hyperlink ref="D162" r:id="rId139" xr:uid="{00000000-0004-0000-0200-00008A000000}"/>
    <hyperlink ref="G162" r:id="rId140" xr:uid="{00000000-0004-0000-0200-00008B000000}"/>
    <hyperlink ref="D163" r:id="rId141" xr:uid="{00000000-0004-0000-0200-00008C000000}"/>
    <hyperlink ref="G163" r:id="rId142" xr:uid="{00000000-0004-0000-0200-00008D000000}"/>
    <hyperlink ref="G164" r:id="rId143" xr:uid="{00000000-0004-0000-0200-00008E000000}"/>
    <hyperlink ref="G165" r:id="rId144" xr:uid="{00000000-0004-0000-0200-00008F000000}"/>
    <hyperlink ref="G166" r:id="rId145" xr:uid="{00000000-0004-0000-0200-000090000000}"/>
    <hyperlink ref="G167" r:id="rId146" xr:uid="{00000000-0004-0000-0200-000091000000}"/>
    <hyperlink ref="G168" r:id="rId147" xr:uid="{00000000-0004-0000-0200-000092000000}"/>
    <hyperlink ref="G169" r:id="rId148" xr:uid="{00000000-0004-0000-0200-000093000000}"/>
    <hyperlink ref="G170" r:id="rId149" xr:uid="{00000000-0004-0000-0200-000094000000}"/>
    <hyperlink ref="G171" r:id="rId150" xr:uid="{00000000-0004-0000-0200-000095000000}"/>
    <hyperlink ref="G172" r:id="rId151" xr:uid="{00000000-0004-0000-0200-000096000000}"/>
    <hyperlink ref="G173" r:id="rId152" xr:uid="{00000000-0004-0000-0200-000097000000}"/>
    <hyperlink ref="G174" r:id="rId153" xr:uid="{00000000-0004-0000-0200-000098000000}"/>
    <hyperlink ref="G175" r:id="rId154" xr:uid="{00000000-0004-0000-0200-000099000000}"/>
    <hyperlink ref="G176" r:id="rId155" xr:uid="{00000000-0004-0000-0200-00009A000000}"/>
    <hyperlink ref="G177" r:id="rId156" xr:uid="{00000000-0004-0000-0200-00009B000000}"/>
    <hyperlink ref="G190" r:id="rId157" xr:uid="{00000000-0004-0000-0200-00009C000000}"/>
    <hyperlink ref="G191" r:id="rId158" xr:uid="{00000000-0004-0000-0200-00009D000000}"/>
    <hyperlink ref="G192" r:id="rId159" xr:uid="{00000000-0004-0000-0200-00009E000000}"/>
    <hyperlink ref="G193" r:id="rId160" xr:uid="{00000000-0004-0000-0200-00009F000000}"/>
    <hyperlink ref="G194" r:id="rId161" xr:uid="{00000000-0004-0000-0200-0000A0000000}"/>
    <hyperlink ref="G200" r:id="rId162" xr:uid="{00000000-0004-0000-0200-0000A1000000}"/>
    <hyperlink ref="G201" r:id="rId163" xr:uid="{00000000-0004-0000-0200-0000A2000000}"/>
    <hyperlink ref="G202" r:id="rId164" xr:uid="{00000000-0004-0000-0200-0000A3000000}"/>
    <hyperlink ref="G203" r:id="rId165" xr:uid="{00000000-0004-0000-0200-0000A4000000}"/>
    <hyperlink ref="G204" r:id="rId166" xr:uid="{00000000-0004-0000-0200-0000A5000000}"/>
    <hyperlink ref="G210" r:id="rId167" xr:uid="{00000000-0004-0000-0200-0000A6000000}"/>
    <hyperlink ref="G211" r:id="rId168" xr:uid="{00000000-0004-0000-0200-0000A7000000}"/>
    <hyperlink ref="G217" r:id="rId169" xr:uid="{00000000-0004-0000-0200-0000A8000000}"/>
    <hyperlink ref="G218" r:id="rId170" xr:uid="{00000000-0004-0000-0200-0000A9000000}"/>
    <hyperlink ref="G219" r:id="rId171" xr:uid="{00000000-0004-0000-0200-0000AA000000}"/>
    <hyperlink ref="G220" r:id="rId172" xr:uid="{00000000-0004-0000-0200-0000AB000000}"/>
    <hyperlink ref="G221" r:id="rId173" xr:uid="{00000000-0004-0000-0200-0000AC000000}"/>
    <hyperlink ref="G222" r:id="rId174" xr:uid="{00000000-0004-0000-0200-0000AD000000}"/>
    <hyperlink ref="D223" r:id="rId175" xr:uid="{00000000-0004-0000-0200-0000AE000000}"/>
    <hyperlink ref="G223" r:id="rId176" xr:uid="{00000000-0004-0000-0200-0000AF000000}"/>
    <hyperlink ref="D224" r:id="rId177" xr:uid="{00000000-0004-0000-0200-0000B0000000}"/>
    <hyperlink ref="G224" r:id="rId178" xr:uid="{00000000-0004-0000-0200-0000B1000000}"/>
    <hyperlink ref="D225" r:id="rId179" xr:uid="{00000000-0004-0000-0200-0000B2000000}"/>
    <hyperlink ref="G225" r:id="rId180" xr:uid="{00000000-0004-0000-0200-0000B3000000}"/>
    <hyperlink ref="D226" r:id="rId181" xr:uid="{00000000-0004-0000-0200-0000B4000000}"/>
    <hyperlink ref="G226" r:id="rId182" xr:uid="{00000000-0004-0000-0200-0000B5000000}"/>
    <hyperlink ref="D227" r:id="rId183" xr:uid="{00000000-0004-0000-0200-0000B6000000}"/>
    <hyperlink ref="G227" r:id="rId184" xr:uid="{00000000-0004-0000-0200-0000B7000000}"/>
    <hyperlink ref="G228" r:id="rId185" xr:uid="{00000000-0004-0000-0200-0000B8000000}"/>
    <hyperlink ref="G229" r:id="rId186" xr:uid="{00000000-0004-0000-0200-0000B9000000}"/>
    <hyperlink ref="G230" r:id="rId187" xr:uid="{00000000-0004-0000-0200-0000BA000000}"/>
    <hyperlink ref="G231" r:id="rId188" xr:uid="{00000000-0004-0000-0200-0000BB000000}"/>
    <hyperlink ref="G232" r:id="rId189" xr:uid="{00000000-0004-0000-0200-0000BC000000}"/>
    <hyperlink ref="G233" r:id="rId190" xr:uid="{00000000-0004-0000-0200-0000BD000000}"/>
    <hyperlink ref="G234" r:id="rId191" xr:uid="{00000000-0004-0000-0200-0000BE000000}"/>
    <hyperlink ref="G235" r:id="rId192" xr:uid="{00000000-0004-0000-0200-0000BF000000}"/>
    <hyperlink ref="G236" r:id="rId193" xr:uid="{00000000-0004-0000-0200-0000C0000000}"/>
    <hyperlink ref="G237" r:id="rId194" xr:uid="{00000000-0004-0000-0200-0000C1000000}"/>
    <hyperlink ref="G238" r:id="rId195" xr:uid="{00000000-0004-0000-0200-0000C2000000}"/>
    <hyperlink ref="G239" r:id="rId196" xr:uid="{00000000-0004-0000-0200-0000C3000000}"/>
    <hyperlink ref="G240" r:id="rId197" xr:uid="{00000000-0004-0000-0200-0000C4000000}"/>
    <hyperlink ref="G241" r:id="rId198" xr:uid="{00000000-0004-0000-0200-0000C5000000}"/>
    <hyperlink ref="G242" r:id="rId199" xr:uid="{00000000-0004-0000-0200-0000C6000000}"/>
    <hyperlink ref="G245" r:id="rId200" xr:uid="{00000000-0004-0000-0200-0000C7000000}"/>
    <hyperlink ref="G247" r:id="rId201" xr:uid="{00000000-0004-0000-0200-0000C8000000}"/>
    <hyperlink ref="G248" r:id="rId202" xr:uid="{00000000-0004-0000-0200-0000C9000000}"/>
    <hyperlink ref="G249" r:id="rId203" xr:uid="{00000000-0004-0000-0200-0000CA000000}"/>
    <hyperlink ref="G250" r:id="rId204" xr:uid="{00000000-0004-0000-0200-0000CB000000}"/>
    <hyperlink ref="G251" r:id="rId205" xr:uid="{00000000-0004-0000-0200-0000CC000000}"/>
    <hyperlink ref="G252" r:id="rId206" xr:uid="{00000000-0004-0000-0200-0000CD000000}"/>
    <hyperlink ref="G253" r:id="rId207" xr:uid="{00000000-0004-0000-0200-0000CE000000}"/>
    <hyperlink ref="G254" r:id="rId208" xr:uid="{00000000-0004-0000-0200-0000CF000000}"/>
    <hyperlink ref="G255" r:id="rId209" xr:uid="{00000000-0004-0000-0200-0000D0000000}"/>
    <hyperlink ref="G256" r:id="rId210" xr:uid="{00000000-0004-0000-0200-0000D1000000}"/>
    <hyperlink ref="G257" r:id="rId211" xr:uid="{00000000-0004-0000-0200-0000D2000000}"/>
    <hyperlink ref="G258" r:id="rId212" xr:uid="{00000000-0004-0000-0200-0000D3000000}"/>
    <hyperlink ref="G259" r:id="rId213" xr:uid="{00000000-0004-0000-0200-0000D4000000}"/>
    <hyperlink ref="G260" r:id="rId214" xr:uid="{00000000-0004-0000-0200-0000D5000000}"/>
    <hyperlink ref="G261" r:id="rId215" xr:uid="{00000000-0004-0000-0200-0000D6000000}"/>
    <hyperlink ref="G262" r:id="rId216" xr:uid="{00000000-0004-0000-0200-0000D7000000}"/>
    <hyperlink ref="G263" r:id="rId217" xr:uid="{00000000-0004-0000-0200-0000D8000000}"/>
    <hyperlink ref="G264" r:id="rId218" xr:uid="{00000000-0004-0000-0200-0000D9000000}"/>
    <hyperlink ref="H265" r:id="rId219" xr:uid="{00000000-0004-0000-0200-0000DA000000}"/>
    <hyperlink ref="H266" r:id="rId220" xr:uid="{00000000-0004-0000-0200-0000DB000000}"/>
    <hyperlink ref="G268" r:id="rId221" xr:uid="{00000000-0004-0000-0200-0000DC000000}"/>
    <hyperlink ref="G269" r:id="rId222" xr:uid="{00000000-0004-0000-0200-0000DD000000}"/>
    <hyperlink ref="G270" r:id="rId223" xr:uid="{00000000-0004-0000-0200-0000DE000000}"/>
    <hyperlink ref="G271" r:id="rId224" xr:uid="{00000000-0004-0000-0200-0000DF000000}"/>
    <hyperlink ref="G272" r:id="rId225" xr:uid="{00000000-0004-0000-0200-0000E0000000}"/>
    <hyperlink ref="G273" r:id="rId226" xr:uid="{00000000-0004-0000-0200-0000E1000000}"/>
    <hyperlink ref="G274" r:id="rId227" xr:uid="{00000000-0004-0000-0200-0000E2000000}"/>
    <hyperlink ref="G275" r:id="rId228" xr:uid="{00000000-0004-0000-0200-0000E3000000}"/>
    <hyperlink ref="G276" r:id="rId229" xr:uid="{00000000-0004-0000-0200-0000E4000000}"/>
    <hyperlink ref="G277" r:id="rId230" xr:uid="{00000000-0004-0000-0200-0000E5000000}"/>
    <hyperlink ref="G278" r:id="rId231" xr:uid="{00000000-0004-0000-0200-0000E6000000}"/>
    <hyperlink ref="G279" r:id="rId232" xr:uid="{00000000-0004-0000-0200-0000E7000000}"/>
    <hyperlink ref="G280" r:id="rId233" xr:uid="{00000000-0004-0000-0200-0000E8000000}"/>
    <hyperlink ref="G281" r:id="rId234" xr:uid="{00000000-0004-0000-0200-0000E9000000}"/>
    <hyperlink ref="G282" r:id="rId235" xr:uid="{00000000-0004-0000-0200-0000EA000000}"/>
    <hyperlink ref="G285" r:id="rId236" xr:uid="{00000000-0004-0000-0200-0000EB000000}"/>
    <hyperlink ref="D287" r:id="rId237" xr:uid="{00000000-0004-0000-0200-0000EC000000}"/>
    <hyperlink ref="G287" r:id="rId238" xr:uid="{00000000-0004-0000-0200-0000ED000000}"/>
    <hyperlink ref="D288" r:id="rId239" xr:uid="{00000000-0004-0000-0200-0000EE000000}"/>
    <hyperlink ref="G288" r:id="rId240" xr:uid="{00000000-0004-0000-0200-0000EF000000}"/>
    <hyperlink ref="D289" r:id="rId241" xr:uid="{00000000-0004-0000-0200-0000F0000000}"/>
    <hyperlink ref="G289" r:id="rId242" xr:uid="{00000000-0004-0000-0200-0000F1000000}"/>
    <hyperlink ref="D290" r:id="rId243" xr:uid="{00000000-0004-0000-0200-0000F2000000}"/>
    <hyperlink ref="G290" r:id="rId244" xr:uid="{00000000-0004-0000-0200-0000F3000000}"/>
    <hyperlink ref="D291" r:id="rId245" xr:uid="{00000000-0004-0000-0200-0000F4000000}"/>
    <hyperlink ref="G291" r:id="rId246" xr:uid="{00000000-0004-0000-0200-0000F5000000}"/>
    <hyperlink ref="D292" r:id="rId247" xr:uid="{00000000-0004-0000-0200-0000F6000000}"/>
    <hyperlink ref="G292" r:id="rId248" xr:uid="{00000000-0004-0000-0200-0000F7000000}"/>
    <hyperlink ref="G293" r:id="rId249" xr:uid="{00000000-0004-0000-0200-0000F8000000}"/>
    <hyperlink ref="G294" r:id="rId250" xr:uid="{00000000-0004-0000-0200-0000F9000000}"/>
    <hyperlink ref="G295" r:id="rId251" xr:uid="{00000000-0004-0000-0200-0000FA000000}"/>
    <hyperlink ref="G296" r:id="rId252" xr:uid="{00000000-0004-0000-0200-0000FB000000}"/>
    <hyperlink ref="G297" r:id="rId253" xr:uid="{00000000-0004-0000-0200-0000FC000000}"/>
    <hyperlink ref="G298" r:id="rId254" xr:uid="{00000000-0004-0000-0200-0000FD000000}"/>
    <hyperlink ref="G299" r:id="rId255" xr:uid="{00000000-0004-0000-0200-0000FE000000}"/>
    <hyperlink ref="G300" r:id="rId256" xr:uid="{00000000-0004-0000-0200-0000FF000000}"/>
    <hyperlink ref="G301" r:id="rId257" xr:uid="{00000000-0004-0000-0200-000000010000}"/>
    <hyperlink ref="H301" r:id="rId258" xr:uid="{00000000-0004-0000-0200-000001010000}"/>
    <hyperlink ref="H302" r:id="rId259" xr:uid="{00000000-0004-0000-0200-000002010000}"/>
    <hyperlink ref="G303" r:id="rId260" xr:uid="{00000000-0004-0000-0200-000003010000}"/>
    <hyperlink ref="G304" r:id="rId261" xr:uid="{00000000-0004-0000-0200-000004010000}"/>
    <hyperlink ref="G305" r:id="rId262" xr:uid="{00000000-0004-0000-0200-000005010000}"/>
    <hyperlink ref="G306" r:id="rId263" xr:uid="{00000000-0004-0000-0200-000006010000}"/>
    <hyperlink ref="G307" r:id="rId264" xr:uid="{00000000-0004-0000-0200-000007010000}"/>
    <hyperlink ref="G308" r:id="rId265" xr:uid="{00000000-0004-0000-0200-000008010000}"/>
    <hyperlink ref="G309" r:id="rId266" xr:uid="{00000000-0004-0000-0200-000009010000}"/>
    <hyperlink ref="G310" r:id="rId267" xr:uid="{00000000-0004-0000-0200-00000A010000}"/>
    <hyperlink ref="G311" r:id="rId268" xr:uid="{00000000-0004-0000-0200-00000B010000}"/>
    <hyperlink ref="H311" r:id="rId269" xr:uid="{00000000-0004-0000-0200-00000C010000}"/>
    <hyperlink ref="G312" r:id="rId270" xr:uid="{00000000-0004-0000-0200-00000D010000}"/>
    <hyperlink ref="H312" r:id="rId271" xr:uid="{00000000-0004-0000-0200-00000E010000}"/>
    <hyperlink ref="G313" r:id="rId272" xr:uid="{00000000-0004-0000-0200-00000F010000}"/>
    <hyperlink ref="H313" r:id="rId273" xr:uid="{00000000-0004-0000-0200-000010010000}"/>
    <hyperlink ref="G314" r:id="rId274" xr:uid="{00000000-0004-0000-0200-000011010000}"/>
    <hyperlink ref="H314" r:id="rId275" xr:uid="{00000000-0004-0000-0200-000012010000}"/>
    <hyperlink ref="H317" r:id="rId276" xr:uid="{00000000-0004-0000-0200-000013010000}"/>
    <hyperlink ref="G318" r:id="rId277" xr:uid="{00000000-0004-0000-0200-000014010000}"/>
    <hyperlink ref="H318" r:id="rId278" xr:uid="{00000000-0004-0000-0200-000015010000}"/>
    <hyperlink ref="G319" r:id="rId279" xr:uid="{00000000-0004-0000-0200-000016010000}"/>
    <hyperlink ref="H319" r:id="rId280" xr:uid="{00000000-0004-0000-0200-000017010000}"/>
    <hyperlink ref="G320" r:id="rId281" xr:uid="{00000000-0004-0000-0200-000018010000}"/>
    <hyperlink ref="H320" r:id="rId282" xr:uid="{00000000-0004-0000-0200-000019010000}"/>
    <hyperlink ref="G321" r:id="rId283" xr:uid="{00000000-0004-0000-0200-00001A010000}"/>
    <hyperlink ref="H321" r:id="rId284" xr:uid="{00000000-0004-0000-0200-00001B010000}"/>
    <hyperlink ref="G322" r:id="rId285" xr:uid="{00000000-0004-0000-0200-00001C010000}"/>
    <hyperlink ref="H322" r:id="rId286" xr:uid="{00000000-0004-0000-0200-00001D010000}"/>
    <hyperlink ref="G323" r:id="rId287" xr:uid="{00000000-0004-0000-0200-00001E010000}"/>
    <hyperlink ref="G324" r:id="rId288" xr:uid="{00000000-0004-0000-0200-00001F010000}"/>
    <hyperlink ref="G325" r:id="rId289" xr:uid="{00000000-0004-0000-0200-000020010000}"/>
    <hyperlink ref="G326" r:id="rId290" xr:uid="{00000000-0004-0000-0200-000021010000}"/>
    <hyperlink ref="G327" r:id="rId291" xr:uid="{00000000-0004-0000-0200-000022010000}"/>
    <hyperlink ref="D328" r:id="rId292" xr:uid="{00000000-0004-0000-0200-000023010000}"/>
    <hyperlink ref="G328" r:id="rId293" xr:uid="{00000000-0004-0000-0200-000024010000}"/>
    <hyperlink ref="D329" r:id="rId294" xr:uid="{00000000-0004-0000-0200-000025010000}"/>
    <hyperlink ref="G329" r:id="rId295" xr:uid="{00000000-0004-0000-0200-000026010000}"/>
    <hyperlink ref="G330" r:id="rId296" xr:uid="{00000000-0004-0000-0200-000027010000}"/>
    <hyperlink ref="G331" r:id="rId297" xr:uid="{00000000-0004-0000-0200-000028010000}"/>
    <hyperlink ref="G332" r:id="rId298" xr:uid="{00000000-0004-0000-0200-000029010000}"/>
    <hyperlink ref="G333" r:id="rId299" xr:uid="{00000000-0004-0000-0200-00002A010000}"/>
    <hyperlink ref="G334" r:id="rId300" xr:uid="{00000000-0004-0000-0200-00002B010000}"/>
    <hyperlink ref="G335" r:id="rId301" xr:uid="{00000000-0004-0000-0200-00002C010000}"/>
    <hyperlink ref="D336" r:id="rId302" xr:uid="{00000000-0004-0000-0200-00002D010000}"/>
    <hyperlink ref="D337" r:id="rId303" xr:uid="{00000000-0004-0000-0200-00002E010000}"/>
    <hyperlink ref="D338" r:id="rId304" xr:uid="{00000000-0004-0000-0200-00002F010000}"/>
    <hyperlink ref="G339" r:id="rId305" xr:uid="{00000000-0004-0000-0200-000030010000}"/>
    <hyperlink ref="H339" r:id="rId306" xr:uid="{00000000-0004-0000-0200-000031010000}"/>
    <hyperlink ref="G340" r:id="rId307" xr:uid="{00000000-0004-0000-0200-000032010000}"/>
    <hyperlink ref="H340" r:id="rId308" xr:uid="{00000000-0004-0000-0200-000033010000}"/>
    <hyperlink ref="G341" r:id="rId309" xr:uid="{00000000-0004-0000-0200-000034010000}"/>
    <hyperlink ref="H341" r:id="rId310" xr:uid="{00000000-0004-0000-0200-000035010000}"/>
    <hyperlink ref="G342" r:id="rId311" xr:uid="{00000000-0004-0000-0200-000036010000}"/>
    <hyperlink ref="H342" r:id="rId312" xr:uid="{00000000-0004-0000-0200-000037010000}"/>
    <hyperlink ref="G343" r:id="rId313" xr:uid="{00000000-0004-0000-0200-000038010000}"/>
    <hyperlink ref="H343" r:id="rId314" xr:uid="{00000000-0004-0000-0200-000039010000}"/>
    <hyperlink ref="G344" r:id="rId315" xr:uid="{00000000-0004-0000-0200-00003A010000}"/>
    <hyperlink ref="H344" r:id="rId316" xr:uid="{00000000-0004-0000-0200-00003B010000}"/>
    <hyperlink ref="G345" r:id="rId317" xr:uid="{00000000-0004-0000-0200-00003C010000}"/>
    <hyperlink ref="H345" r:id="rId318" xr:uid="{00000000-0004-0000-0200-00003D010000}"/>
    <hyperlink ref="G346" r:id="rId319" xr:uid="{00000000-0004-0000-0200-00003E010000}"/>
    <hyperlink ref="G347" r:id="rId320" xr:uid="{00000000-0004-0000-0200-00003F010000}"/>
    <hyperlink ref="G348" r:id="rId321" xr:uid="{00000000-0004-0000-0200-000040010000}"/>
    <hyperlink ref="H348" r:id="rId322" xr:uid="{00000000-0004-0000-0200-000041010000}"/>
    <hyperlink ref="G349" r:id="rId323" xr:uid="{00000000-0004-0000-0200-000042010000}"/>
    <hyperlink ref="H349" r:id="rId324" xr:uid="{00000000-0004-0000-0200-000043010000}"/>
    <hyperlink ref="G350" r:id="rId325" xr:uid="{00000000-0004-0000-0200-000044010000}"/>
    <hyperlink ref="G351" r:id="rId326" xr:uid="{00000000-0004-0000-0200-000045010000}"/>
    <hyperlink ref="G357" r:id="rId327" xr:uid="{00000000-0004-0000-0200-000046010000}"/>
    <hyperlink ref="H357" r:id="rId328" xr:uid="{00000000-0004-0000-0200-000047010000}"/>
    <hyperlink ref="G358" r:id="rId329" xr:uid="{00000000-0004-0000-0200-000048010000}"/>
    <hyperlink ref="G359" r:id="rId330" xr:uid="{00000000-0004-0000-0200-000049010000}"/>
    <hyperlink ref="G360" r:id="rId331" xr:uid="{00000000-0004-0000-0200-00004A010000}"/>
    <hyperlink ref="G361" r:id="rId332" xr:uid="{00000000-0004-0000-0200-00004B010000}"/>
    <hyperlink ref="G362" r:id="rId333" xr:uid="{00000000-0004-0000-0200-00004C010000}"/>
    <hyperlink ref="G363" r:id="rId334" xr:uid="{00000000-0004-0000-0200-00004D010000}"/>
    <hyperlink ref="G364" r:id="rId335" xr:uid="{00000000-0004-0000-0200-00004E010000}"/>
    <hyperlink ref="G365" r:id="rId336" xr:uid="{00000000-0004-0000-0200-00004F010000}"/>
    <hyperlink ref="G366" r:id="rId337" xr:uid="{00000000-0004-0000-0200-000050010000}"/>
    <hyperlink ref="G367" r:id="rId338" xr:uid="{00000000-0004-0000-0200-000051010000}"/>
    <hyperlink ref="G368" r:id="rId339" xr:uid="{00000000-0004-0000-0200-000052010000}"/>
    <hyperlink ref="G369" r:id="rId340" xr:uid="{00000000-0004-0000-0200-000053010000}"/>
    <hyperlink ref="G370" r:id="rId341" xr:uid="{00000000-0004-0000-0200-000054010000}"/>
    <hyperlink ref="G371" r:id="rId342" xr:uid="{00000000-0004-0000-0200-000055010000}"/>
    <hyperlink ref="H371" r:id="rId343" xr:uid="{00000000-0004-0000-0200-000056010000}"/>
    <hyperlink ref="G372" r:id="rId344" xr:uid="{00000000-0004-0000-0200-000057010000}"/>
    <hyperlink ref="G373" r:id="rId345" xr:uid="{00000000-0004-0000-0200-000058010000}"/>
    <hyperlink ref="G374" r:id="rId346" xr:uid="{00000000-0004-0000-0200-000059010000}"/>
    <hyperlink ref="G375" r:id="rId347" xr:uid="{00000000-0004-0000-0200-00005A010000}"/>
    <hyperlink ref="H375" r:id="rId348" xr:uid="{00000000-0004-0000-0200-00005B010000}"/>
    <hyperlink ref="G376" r:id="rId349" xr:uid="{00000000-0004-0000-0200-00005C010000}"/>
    <hyperlink ref="H376" r:id="rId350" xr:uid="{00000000-0004-0000-0200-00005D010000}"/>
    <hyperlink ref="G377" r:id="rId351" xr:uid="{00000000-0004-0000-0200-00005E010000}"/>
    <hyperlink ref="H377" r:id="rId352" xr:uid="{00000000-0004-0000-0200-00005F010000}"/>
    <hyperlink ref="G381" r:id="rId353" xr:uid="{00000000-0004-0000-0200-000060010000}"/>
    <hyperlink ref="G382" r:id="rId354" xr:uid="{00000000-0004-0000-0200-000061010000}"/>
    <hyperlink ref="G383" r:id="rId355" xr:uid="{00000000-0004-0000-0200-000062010000}"/>
    <hyperlink ref="G384" r:id="rId356" xr:uid="{00000000-0004-0000-0200-000063010000}"/>
    <hyperlink ref="G385" r:id="rId357" xr:uid="{00000000-0004-0000-0200-000064010000}"/>
    <hyperlink ref="G386" r:id="rId358" xr:uid="{00000000-0004-0000-0200-000065010000}"/>
    <hyperlink ref="G387" r:id="rId359" xr:uid="{00000000-0004-0000-0200-000066010000}"/>
    <hyperlink ref="G388" r:id="rId360" xr:uid="{00000000-0004-0000-0200-000067010000}"/>
    <hyperlink ref="G389" r:id="rId361" xr:uid="{00000000-0004-0000-0200-000068010000}"/>
    <hyperlink ref="G391" r:id="rId362" xr:uid="{00000000-0004-0000-0200-000069010000}"/>
    <hyperlink ref="G392" r:id="rId363" xr:uid="{00000000-0004-0000-0200-00006A010000}"/>
    <hyperlink ref="G395" r:id="rId364" location="id-10158" xr:uid="{00000000-0004-0000-0200-00006B010000}"/>
    <hyperlink ref="G396" r:id="rId365" location="id-10156" xr:uid="{00000000-0004-0000-0200-00006C010000}"/>
    <hyperlink ref="G397" r:id="rId366" location="id-10159" xr:uid="{00000000-0004-0000-0200-00006D010000}"/>
    <hyperlink ref="G398" r:id="rId367" location="id-10160" xr:uid="{00000000-0004-0000-0200-00006E010000}"/>
    <hyperlink ref="G399" r:id="rId368" location="id-10125" xr:uid="{00000000-0004-0000-0200-00006F010000}"/>
    <hyperlink ref="G400" r:id="rId369" location="id-00106" xr:uid="{00000000-0004-0000-0200-000070010000}"/>
    <hyperlink ref="G401" r:id="rId370" xr:uid="{00000000-0004-0000-0200-000071010000}"/>
    <hyperlink ref="G402" r:id="rId371" xr:uid="{00000000-0004-0000-0200-000072010000}"/>
    <hyperlink ref="G403" r:id="rId372" xr:uid="{00000000-0004-0000-0200-000073010000}"/>
    <hyperlink ref="G404" r:id="rId373" xr:uid="{00000000-0004-0000-0200-000074010000}"/>
    <hyperlink ref="G405" r:id="rId374" xr:uid="{00000000-0004-0000-0200-000075010000}"/>
    <hyperlink ref="G406" r:id="rId375" xr:uid="{00000000-0004-0000-0200-000076010000}"/>
    <hyperlink ref="G407" r:id="rId376" xr:uid="{00000000-0004-0000-0200-000077010000}"/>
    <hyperlink ref="G408" r:id="rId377" xr:uid="{00000000-0004-0000-0200-000078010000}"/>
    <hyperlink ref="G409" r:id="rId378" xr:uid="{00000000-0004-0000-0200-000079010000}"/>
    <hyperlink ref="G410" r:id="rId379" xr:uid="{00000000-0004-0000-0200-00007A010000}"/>
    <hyperlink ref="G411" r:id="rId380" xr:uid="{00000000-0004-0000-0200-00007B010000}"/>
    <hyperlink ref="G412" r:id="rId381" xr:uid="{00000000-0004-0000-0200-00007C010000}"/>
    <hyperlink ref="G413" r:id="rId382" xr:uid="{00000000-0004-0000-0200-00007D010000}"/>
    <hyperlink ref="G414" r:id="rId383" xr:uid="{00000000-0004-0000-0200-00007E010000}"/>
    <hyperlink ref="G415" r:id="rId384" xr:uid="{00000000-0004-0000-0200-00007F010000}"/>
    <hyperlink ref="G416" r:id="rId385" xr:uid="{00000000-0004-0000-0200-000080010000}"/>
    <hyperlink ref="G417" r:id="rId386" xr:uid="{00000000-0004-0000-0200-000081010000}"/>
    <hyperlink ref="G418" r:id="rId387" xr:uid="{00000000-0004-0000-0200-000082010000}"/>
    <hyperlink ref="G419" r:id="rId388" xr:uid="{00000000-0004-0000-0200-000083010000}"/>
    <hyperlink ref="G420" r:id="rId389" xr:uid="{00000000-0004-0000-0200-000084010000}"/>
    <hyperlink ref="G421" r:id="rId390" xr:uid="{00000000-0004-0000-0200-000085010000}"/>
    <hyperlink ref="G422" r:id="rId391" xr:uid="{00000000-0004-0000-0200-000086010000}"/>
    <hyperlink ref="G423" r:id="rId392" xr:uid="{00000000-0004-0000-0200-000087010000}"/>
    <hyperlink ref="H423" r:id="rId393" xr:uid="{00000000-0004-0000-0200-000088010000}"/>
    <hyperlink ref="G424" r:id="rId394" xr:uid="{00000000-0004-0000-0200-000089010000}"/>
    <hyperlink ref="H424" r:id="rId395" xr:uid="{00000000-0004-0000-0200-00008A010000}"/>
    <hyperlink ref="G425" r:id="rId396" xr:uid="{00000000-0004-0000-0200-00008B010000}"/>
    <hyperlink ref="H425" r:id="rId397" xr:uid="{00000000-0004-0000-0200-00008C010000}"/>
    <hyperlink ref="G426" r:id="rId398" xr:uid="{00000000-0004-0000-0200-00008D010000}"/>
    <hyperlink ref="H426" r:id="rId399" xr:uid="{00000000-0004-0000-0200-00008E010000}"/>
    <hyperlink ref="G427" r:id="rId400" xr:uid="{00000000-0004-0000-0200-00008F010000}"/>
    <hyperlink ref="G428" r:id="rId401" xr:uid="{00000000-0004-0000-0200-000090010000}"/>
    <hyperlink ref="G429" r:id="rId402" xr:uid="{00000000-0004-0000-0200-000091010000}"/>
    <hyperlink ref="G430" r:id="rId403" xr:uid="{00000000-0004-0000-0200-000092010000}"/>
    <hyperlink ref="G432" r:id="rId404" xr:uid="{00000000-0004-0000-0200-000093010000}"/>
    <hyperlink ref="G433" r:id="rId405" xr:uid="{00000000-0004-0000-0200-000094010000}"/>
    <hyperlink ref="G434" r:id="rId406" xr:uid="{00000000-0004-0000-0200-000095010000}"/>
    <hyperlink ref="G435" r:id="rId407" xr:uid="{00000000-0004-0000-0200-000096010000}"/>
    <hyperlink ref="G436" r:id="rId408" xr:uid="{00000000-0004-0000-0200-000097010000}"/>
    <hyperlink ref="G437" r:id="rId409" xr:uid="{00000000-0004-0000-0200-000098010000}"/>
    <hyperlink ref="G438" r:id="rId410" xr:uid="{00000000-0004-0000-0200-000099010000}"/>
    <hyperlink ref="G439" r:id="rId411" xr:uid="{00000000-0004-0000-0200-00009A010000}"/>
    <hyperlink ref="G440" r:id="rId412" xr:uid="{00000000-0004-0000-0200-00009B010000}"/>
    <hyperlink ref="G441" r:id="rId413" xr:uid="{00000000-0004-0000-0200-00009C010000}"/>
    <hyperlink ref="G442" r:id="rId414" xr:uid="{00000000-0004-0000-0200-00009D010000}"/>
    <hyperlink ref="G443" r:id="rId415" xr:uid="{00000000-0004-0000-0200-00009E010000}"/>
    <hyperlink ref="G444" r:id="rId416" xr:uid="{00000000-0004-0000-0200-00009F010000}"/>
    <hyperlink ref="G445" r:id="rId417" xr:uid="{00000000-0004-0000-0200-0000A0010000}"/>
    <hyperlink ref="G446" r:id="rId418" xr:uid="{00000000-0004-0000-0200-0000A1010000}"/>
    <hyperlink ref="G447" r:id="rId419" xr:uid="{00000000-0004-0000-0200-0000A2010000}"/>
    <hyperlink ref="G448" r:id="rId420" xr:uid="{00000000-0004-0000-0200-0000A3010000}"/>
    <hyperlink ref="D449" r:id="rId421" xr:uid="{00000000-0004-0000-0200-0000A4010000}"/>
    <hyperlink ref="G450" r:id="rId422" xr:uid="{00000000-0004-0000-0200-0000A5010000}"/>
    <hyperlink ref="H451" r:id="rId423" xr:uid="{00000000-0004-0000-0200-0000A6010000}"/>
    <hyperlink ref="H452" r:id="rId424" xr:uid="{00000000-0004-0000-0200-0000A7010000}"/>
    <hyperlink ref="H453" r:id="rId425" xr:uid="{00000000-0004-0000-0200-0000A8010000}"/>
    <hyperlink ref="H454" r:id="rId426" xr:uid="{00000000-0004-0000-0200-0000A9010000}"/>
    <hyperlink ref="G456" r:id="rId427" xr:uid="{00000000-0004-0000-0200-0000AA010000}"/>
    <hyperlink ref="G457" r:id="rId428" xr:uid="{00000000-0004-0000-0200-0000AB010000}"/>
    <hyperlink ref="G458" r:id="rId429" xr:uid="{00000000-0004-0000-0200-0000AC010000}"/>
    <hyperlink ref="G459" r:id="rId430" xr:uid="{00000000-0004-0000-0200-0000AD010000}"/>
    <hyperlink ref="G460" r:id="rId431" xr:uid="{00000000-0004-0000-0200-0000AE010000}"/>
    <hyperlink ref="G461" r:id="rId432" xr:uid="{00000000-0004-0000-0200-0000AF010000}"/>
    <hyperlink ref="H462" r:id="rId433" xr:uid="{00000000-0004-0000-0200-0000B0010000}"/>
    <hyperlink ref="B466" r:id="rId434" xr:uid="{00000000-0004-0000-0200-0000B1010000}"/>
    <hyperlink ref="B467" r:id="rId435" xr:uid="{00000000-0004-0000-0200-0000B2010000}"/>
    <hyperlink ref="G468" r:id="rId436" xr:uid="{00000000-0004-0000-0200-0000B3010000}"/>
    <hyperlink ref="G469" r:id="rId437" xr:uid="{00000000-0004-0000-0200-0000B4010000}"/>
  </hyperlinks>
  <pageMargins left="0.7" right="0.7" top="0.75" bottom="0.75" header="0.3" footer="0.3"/>
  <drawing r:id="rId4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00"/>
  <sheetViews>
    <sheetView showGridLines="0" workbookViewId="0">
      <selection activeCell="C17" sqref="C17"/>
    </sheetView>
  </sheetViews>
  <sheetFormatPr baseColWidth="10" defaultColWidth="14.5" defaultRowHeight="15.75" customHeight="1"/>
  <cols>
    <col min="2" max="2" width="19" customWidth="1"/>
    <col min="11" max="11" width="27.33203125" customWidth="1"/>
  </cols>
  <sheetData>
    <row r="1" spans="1:33" ht="16">
      <c r="A1" s="168"/>
      <c r="AB1" s="169"/>
    </row>
    <row r="2" spans="1:33" ht="15.75" customHeight="1">
      <c r="AB2" s="170" t="s">
        <v>5204</v>
      </c>
      <c r="AD2" s="35" t="s">
        <v>5204</v>
      </c>
      <c r="AE2" s="35" t="s">
        <v>5207</v>
      </c>
      <c r="AG2" s="49">
        <f>YEAR(AB4)</f>
        <v>2020</v>
      </c>
    </row>
    <row r="3" spans="1:33" ht="15.75" customHeight="1">
      <c r="B3" s="171" t="s">
        <v>17</v>
      </c>
      <c r="C3" s="171" t="s">
        <v>5218</v>
      </c>
      <c r="N3" s="171" t="s">
        <v>5220</v>
      </c>
      <c r="O3" s="171" t="s">
        <v>5218</v>
      </c>
      <c r="T3" s="15" t="s">
        <v>5221</v>
      </c>
      <c r="U3" s="15" t="s">
        <v>5218</v>
      </c>
      <c r="X3" s="329" t="s">
        <v>5221</v>
      </c>
      <c r="Y3" s="330" t="s">
        <v>6193</v>
      </c>
      <c r="Z3" s="5" t="s">
        <v>5218</v>
      </c>
      <c r="AB3" s="169">
        <f>ROUND('Awesome People List-Master'!A5,0)</f>
        <v>43918</v>
      </c>
      <c r="AD3" s="169">
        <f ca="1">IFERROR(__xludf.DUMMYFUNCTION("unique(AB3:AB1000)"),43918)</f>
        <v>43918</v>
      </c>
      <c r="AE3" s="49">
        <f t="shared" ref="AE3:AE40" ca="1" si="0">COUNTIF(AB:AB,AD3)</f>
        <v>1</v>
      </c>
      <c r="AG3" s="49" t="str">
        <f ca="1">IFERROR(__xludf.DUMMYFUNCTION("filter(AB3:AB1000,Year(AB3:AB1000) &gt; AG)"),"#N/A")</f>
        <v>#N/A</v>
      </c>
    </row>
    <row r="4" spans="1:33" ht="15.75" customHeight="1">
      <c r="B4" s="49" t="s">
        <v>326</v>
      </c>
      <c r="C4" s="49">
        <f>COUNTIF('Awesome People List-Master'!$G$5:G1000,"*"&amp;B4&amp;"*")</f>
        <v>197</v>
      </c>
      <c r="N4" s="35" t="s">
        <v>48</v>
      </c>
      <c r="O4" s="49">
        <f>COUNTIF('Awesome People List-Master'!J$5:J1000,N4)</f>
        <v>437</v>
      </c>
      <c r="T4" s="49" t="str">
        <f ca="1">IFERROR(__xludf.DUMMYFUNCTION("unique('Awesome People List-Master'!D5:D1000)"),"Tokobox")</f>
        <v>Tokobox</v>
      </c>
      <c r="U4" s="49">
        <f ca="1">COUNTIF('Awesome People List-Master'!D:D,T4)</f>
        <v>1</v>
      </c>
      <c r="X4" s="331"/>
      <c r="Y4" s="332">
        <v>1047305</v>
      </c>
      <c r="Z4" s="5">
        <v>1</v>
      </c>
      <c r="AB4" s="169">
        <f>ROUND('Awesome People List-Master'!A6,0)</f>
        <v>43922</v>
      </c>
      <c r="AD4" s="169">
        <f ca="1">IFERROR(__xludf.DUMMYFUNCTION("""COMPUTED_VALUE"""),43922)</f>
        <v>43922</v>
      </c>
      <c r="AE4" s="49">
        <f t="shared" ca="1" si="0"/>
        <v>51</v>
      </c>
    </row>
    <row r="5" spans="1:33" ht="15.75" customHeight="1">
      <c r="B5" s="49" t="s">
        <v>214</v>
      </c>
      <c r="C5" s="49">
        <f>COUNTIF('Awesome People List-Master'!$G$5:G1000,"*"&amp;B5&amp;"*")</f>
        <v>275</v>
      </c>
      <c r="N5" s="35" t="s">
        <v>305</v>
      </c>
      <c r="O5" s="49">
        <f>COUNTIF('Awesome People List-Master'!J$5:J1000,N5)</f>
        <v>8</v>
      </c>
      <c r="T5" s="49" t="str">
        <f ca="1">IFERROR(__xludf.DUMMYFUNCTION("""COMPUTED_VALUE"""),"Spoonful Meals")</f>
        <v>Spoonful Meals</v>
      </c>
      <c r="U5" s="49">
        <f ca="1">COUNTIF('Awesome People List-Master'!D:D,T5)</f>
        <v>2</v>
      </c>
      <c r="X5" s="333" t="s">
        <v>87</v>
      </c>
      <c r="Y5" s="334">
        <v>104</v>
      </c>
      <c r="Z5" s="208">
        <f t="shared" ref="Z5:Z13" si="1">Z4+1</f>
        <v>2</v>
      </c>
      <c r="AB5" s="169">
        <f>ROUND('Awesome People List-Master'!A7,0)</f>
        <v>43922</v>
      </c>
      <c r="AD5" s="169" t="str">
        <f ca="1">IFERROR(__xludf.DUMMYFUNCTION("""COMPUTED_VALUE"""),"#REF!")</f>
        <v>#REF!</v>
      </c>
      <c r="AE5" s="49">
        <f t="shared" ca="1" si="0"/>
        <v>12</v>
      </c>
    </row>
    <row r="6" spans="1:33" ht="15.75" customHeight="1">
      <c r="B6" s="49" t="s">
        <v>409</v>
      </c>
      <c r="C6" s="49">
        <f>COUNTIF('Awesome People List-Master'!$G$5:G1000,"*"&amp;B6&amp;"*")</f>
        <v>0</v>
      </c>
      <c r="N6" s="35" t="s">
        <v>35</v>
      </c>
      <c r="O6" s="49">
        <f>COUNTIF('Awesome People List-Master'!J$5:J1000,N6)</f>
        <v>208</v>
      </c>
      <c r="T6" s="49" t="str">
        <f ca="1">IFERROR(__xludf.DUMMYFUNCTION("""COMPUTED_VALUE"""),"SaleCycle")</f>
        <v>SaleCycle</v>
      </c>
      <c r="U6" s="49">
        <f ca="1">COUNTIF('Awesome People List-Master'!D:D,T6)</f>
        <v>1</v>
      </c>
      <c r="X6" s="333" t="s">
        <v>1153</v>
      </c>
      <c r="Y6" s="334">
        <v>46</v>
      </c>
      <c r="Z6" s="208">
        <f t="shared" si="1"/>
        <v>3</v>
      </c>
      <c r="AB6" s="169">
        <f>ROUND('Awesome People List-Master'!A8,0)</f>
        <v>43922</v>
      </c>
      <c r="AD6" s="169">
        <f ca="1">IFERROR(__xludf.DUMMYFUNCTION("""COMPUTED_VALUE"""),43923)</f>
        <v>43923</v>
      </c>
      <c r="AE6" s="49">
        <f t="shared" ca="1" si="0"/>
        <v>53</v>
      </c>
    </row>
    <row r="7" spans="1:33" ht="15.75" customHeight="1">
      <c r="B7" s="49" t="s">
        <v>357</v>
      </c>
      <c r="C7" s="49">
        <f>COUNTIF('Awesome People List-Master'!$G$5:G1000,"*"&amp;B7&amp;"*")</f>
        <v>110</v>
      </c>
      <c r="T7" s="49" t="str">
        <f ca="1">IFERROR(__xludf.DUMMYFUNCTION("""COMPUTED_VALUE"""),"MyEduSolve")</f>
        <v>MyEduSolve</v>
      </c>
      <c r="U7" s="49">
        <f ca="1">COUNTIF('Awesome People List-Master'!D:D,T7)</f>
        <v>1</v>
      </c>
      <c r="X7" s="333" t="s">
        <v>2380</v>
      </c>
      <c r="Y7" s="334">
        <v>44</v>
      </c>
      <c r="Z7" s="208">
        <f t="shared" si="1"/>
        <v>4</v>
      </c>
      <c r="AB7" s="169">
        <f>ROUND('Awesome People List-Master'!A9,0)</f>
        <v>43922</v>
      </c>
      <c r="AD7" s="169" t="str">
        <f ca="1">IFERROR(__xludf.DUMMYFUNCTION("""COMPUTED_VALUE"""),"")</f>
        <v/>
      </c>
      <c r="AE7" s="49">
        <f t="shared" ca="1" si="0"/>
        <v>1047578</v>
      </c>
    </row>
    <row r="8" spans="1:33" ht="15.75" customHeight="1">
      <c r="B8" s="49" t="s">
        <v>296</v>
      </c>
      <c r="C8" s="49">
        <f>COUNTIF('Awesome People List-Master'!$G$5:G1000,"*"&amp;B8&amp;"*")</f>
        <v>242</v>
      </c>
      <c r="T8" s="49" t="str">
        <f ca="1">IFERROR(__xludf.DUMMYFUNCTION("""COMPUTED_VALUE"""),"HOOQ")</f>
        <v>HOOQ</v>
      </c>
      <c r="U8" s="49">
        <f ca="1">COUNTIF('Awesome People List-Master'!D:D,T8)</f>
        <v>104</v>
      </c>
      <c r="X8" s="333" t="s">
        <v>6286</v>
      </c>
      <c r="Y8" s="334">
        <v>33</v>
      </c>
      <c r="Z8" s="208">
        <f t="shared" si="1"/>
        <v>5</v>
      </c>
      <c r="AB8" s="169">
        <f>ROUND('Awesome People List-Master'!A10,0)</f>
        <v>43922</v>
      </c>
      <c r="AD8" s="169">
        <f ca="1">IFERROR(__xludf.DUMMYFUNCTION("""COMPUTED_VALUE"""),43924)</f>
        <v>43924</v>
      </c>
      <c r="AE8" s="49">
        <f t="shared" ca="1" si="0"/>
        <v>38</v>
      </c>
    </row>
    <row r="9" spans="1:33" ht="15.75" customHeight="1">
      <c r="B9" s="49" t="s">
        <v>1419</v>
      </c>
      <c r="C9" s="49">
        <f>COUNTIF('Awesome People List-Master'!$G$5:G1000,"*"&amp;B9&amp;"*")</f>
        <v>0</v>
      </c>
      <c r="T9" s="49" t="str">
        <f ca="1">IFERROR(__xludf.DUMMYFUNCTION("""COMPUTED_VALUE"""),"TradeGecko")</f>
        <v>TradeGecko</v>
      </c>
      <c r="U9" s="49">
        <f ca="1">COUNTIF('Awesome People List-Master'!D:D,T9)</f>
        <v>1</v>
      </c>
      <c r="X9" s="333" t="s">
        <v>3166</v>
      </c>
      <c r="Y9" s="334">
        <v>30</v>
      </c>
      <c r="Z9" s="208">
        <f t="shared" si="1"/>
        <v>6</v>
      </c>
      <c r="AB9" s="169">
        <f>ROUND('Awesome People List-Master'!A11,0)</f>
        <v>43922</v>
      </c>
      <c r="AD9" s="169">
        <f ca="1">IFERROR(__xludf.DUMMYFUNCTION("""COMPUTED_VALUE"""),43925)</f>
        <v>43925</v>
      </c>
      <c r="AE9" s="49">
        <f t="shared" ca="1" si="0"/>
        <v>29</v>
      </c>
    </row>
    <row r="10" spans="1:33" ht="15.75" customHeight="1">
      <c r="B10" s="49" t="s">
        <v>63</v>
      </c>
      <c r="C10" s="49">
        <f>COUNTIF('Awesome People List-Master'!$G$5:G1000,"*"&amp;B10&amp;"*")</f>
        <v>390</v>
      </c>
      <c r="T10" s="49" t="str">
        <f ca="1">IFERROR(__xludf.DUMMYFUNCTION("""COMPUTED_VALUE"""),"BeMyGuest")</f>
        <v>BeMyGuest</v>
      </c>
      <c r="U10" s="49">
        <f ca="1">COUNTIF('Awesome People List-Master'!D:D,T10)</f>
        <v>1</v>
      </c>
      <c r="X10" s="333" t="s">
        <v>5063</v>
      </c>
      <c r="Y10" s="334">
        <v>26</v>
      </c>
      <c r="Z10" s="208">
        <f t="shared" si="1"/>
        <v>7</v>
      </c>
      <c r="AB10" s="169">
        <f>ROUND('Awesome People List-Master'!A12,0)</f>
        <v>43922</v>
      </c>
      <c r="AD10" s="169">
        <f ca="1">IFERROR(__xludf.DUMMYFUNCTION("""COMPUTED_VALUE"""),43926)</f>
        <v>43926</v>
      </c>
      <c r="AE10" s="49">
        <f t="shared" ca="1" si="0"/>
        <v>22</v>
      </c>
    </row>
    <row r="11" spans="1:33" ht="15.75" customHeight="1">
      <c r="B11" s="35" t="s">
        <v>32</v>
      </c>
      <c r="C11" s="49">
        <f>COUNTIF('Awesome People List-Master'!$G$5:G1000,"*"&amp;B11&amp;"*")</f>
        <v>174</v>
      </c>
      <c r="T11" s="49" t="str">
        <f ca="1">IFERROR(__xludf.DUMMYFUNCTION("""COMPUTED_VALUE"""),"Appknit")</f>
        <v>Appknit</v>
      </c>
      <c r="U11" s="49">
        <f ca="1">COUNTIF('Awesome People List-Master'!D:D,T11)</f>
        <v>2</v>
      </c>
      <c r="X11" s="333" t="s">
        <v>5677</v>
      </c>
      <c r="Y11" s="334">
        <v>18</v>
      </c>
      <c r="Z11" s="208">
        <f t="shared" si="1"/>
        <v>8</v>
      </c>
      <c r="AB11" s="169">
        <f>ROUND('Awesome People List-Master'!A13,0)</f>
        <v>43922</v>
      </c>
      <c r="AD11" s="169">
        <f ca="1">IFERROR(__xludf.DUMMYFUNCTION("""COMPUTED_VALUE"""),43927)</f>
        <v>43927</v>
      </c>
      <c r="AE11" s="49">
        <f t="shared" ca="1" si="0"/>
        <v>59</v>
      </c>
    </row>
    <row r="12" spans="1:33" ht="15.75" customHeight="1">
      <c r="B12" s="49" t="s">
        <v>161</v>
      </c>
      <c r="C12" s="49">
        <f>COUNTIF('Awesome People List-Master'!$G$5:G1000,"*"&amp;B12&amp;"*")</f>
        <v>341</v>
      </c>
      <c r="T12" s="49" t="str">
        <f ca="1">IFERROR(__xludf.DUMMYFUNCTION("""COMPUTED_VALUE"""),"Digi-BPL")</f>
        <v>Digi-BPL</v>
      </c>
      <c r="U12" s="49">
        <f ca="1">COUNTIF('Awesome People List-Master'!D:D,T12)</f>
        <v>1</v>
      </c>
      <c r="X12" s="333" t="s">
        <v>4710</v>
      </c>
      <c r="Y12" s="334">
        <v>15</v>
      </c>
      <c r="Z12" s="208">
        <f t="shared" si="1"/>
        <v>9</v>
      </c>
      <c r="AB12" s="169">
        <f>ROUND('Awesome People List-Master'!A14,0)</f>
        <v>43922</v>
      </c>
      <c r="AD12" s="169">
        <f ca="1">IFERROR(__xludf.DUMMYFUNCTION("""COMPUTED_VALUE"""),43928)</f>
        <v>43928</v>
      </c>
      <c r="AE12" s="49">
        <f t="shared" ca="1" si="0"/>
        <v>81</v>
      </c>
    </row>
    <row r="13" spans="1:33" ht="15.75" customHeight="1">
      <c r="B13" s="35" t="s">
        <v>709</v>
      </c>
      <c r="C13" s="49">
        <f>COUNTIF('Awesome People List-Master'!$G$5:G1000,"*"&amp;B13&amp;"*")</f>
        <v>166</v>
      </c>
      <c r="T13" s="49" t="str">
        <f ca="1">IFERROR(__xludf.DUMMYFUNCTION("""COMPUTED_VALUE"""),"Cisco")</f>
        <v>Cisco</v>
      </c>
      <c r="U13" s="49">
        <f ca="1">COUNTIF('Awesome People List-Master'!D:D,T13)</f>
        <v>1</v>
      </c>
      <c r="X13" s="333" t="s">
        <v>632</v>
      </c>
      <c r="Y13" s="334">
        <v>15</v>
      </c>
      <c r="Z13" s="208">
        <f t="shared" si="1"/>
        <v>10</v>
      </c>
      <c r="AB13" s="169">
        <f>ROUND('Awesome People List-Master'!A15,0)</f>
        <v>43922</v>
      </c>
      <c r="AD13" s="169">
        <f ca="1">IFERROR(__xludf.DUMMYFUNCTION("""COMPUTED_VALUE"""),43929)</f>
        <v>43929</v>
      </c>
      <c r="AE13" s="49">
        <f t="shared" ca="1" si="0"/>
        <v>54</v>
      </c>
    </row>
    <row r="14" spans="1:33" ht="15.75" customHeight="1">
      <c r="T14" s="49" t="str">
        <f ca="1">IFERROR(__xludf.DUMMYFUNCTION("""COMPUTED_VALUE"""),"Technopals")</f>
        <v>Technopals</v>
      </c>
      <c r="U14" s="49">
        <f ca="1">COUNTIF('Awesome People List-Master'!D:D,T14)</f>
        <v>1</v>
      </c>
      <c r="X14" s="333" t="s">
        <v>6378</v>
      </c>
      <c r="Y14" s="334">
        <v>14</v>
      </c>
      <c r="AB14" s="169">
        <f>ROUND('Awesome People List-Master'!A16,0)</f>
        <v>43922</v>
      </c>
      <c r="AD14" s="169">
        <f ca="1">IFERROR(__xludf.DUMMYFUNCTION("""COMPUTED_VALUE"""),43930)</f>
        <v>43930</v>
      </c>
      <c r="AE14" s="49">
        <f t="shared" ca="1" si="0"/>
        <v>48</v>
      </c>
    </row>
    <row r="15" spans="1:33" ht="15.75" customHeight="1">
      <c r="T15" s="49" t="str">
        <f ca="1">IFERROR(__xludf.DUMMYFUNCTION("""COMPUTED_VALUE"""),"Clarivate Analytics")</f>
        <v>Clarivate Analytics</v>
      </c>
      <c r="U15" s="49">
        <f ca="1">COUNTIF('Awesome People List-Master'!D:D,T15)</f>
        <v>1</v>
      </c>
      <c r="X15" s="333" t="s">
        <v>3894</v>
      </c>
      <c r="Y15" s="334">
        <v>12</v>
      </c>
      <c r="AB15" s="169">
        <f>ROUND('Awesome People List-Master'!A17,0)</f>
        <v>43922</v>
      </c>
      <c r="AD15" s="169">
        <f ca="1">IFERROR(__xludf.DUMMYFUNCTION("""COMPUTED_VALUE"""),43931)</f>
        <v>43931</v>
      </c>
      <c r="AE15" s="49">
        <f t="shared" ca="1" si="0"/>
        <v>19</v>
      </c>
    </row>
    <row r="16" spans="1:33" ht="15.75" customHeight="1">
      <c r="B16" s="171" t="s">
        <v>18</v>
      </c>
      <c r="C16" s="171" t="s">
        <v>5218</v>
      </c>
      <c r="T16" s="49" t="str">
        <f ca="1">IFERROR(__xludf.DUMMYFUNCTION("""COMPUTED_VALUE"""),"Diamond Star Consulting Joint Stock Co")</f>
        <v>Diamond Star Consulting Joint Stock Co</v>
      </c>
      <c r="U16" s="49">
        <f ca="1">COUNTIF('Awesome People List-Master'!D:D,T16)</f>
        <v>1</v>
      </c>
      <c r="X16" s="333" t="s">
        <v>1240</v>
      </c>
      <c r="Y16" s="334">
        <v>12</v>
      </c>
      <c r="AB16" s="169">
        <f>ROUND('Awesome People List-Master'!A18,0)</f>
        <v>43922</v>
      </c>
      <c r="AD16" s="169">
        <f ca="1">IFERROR(__xludf.DUMMYFUNCTION("""COMPUTED_VALUE"""),43932)</f>
        <v>43932</v>
      </c>
      <c r="AE16" s="49">
        <f t="shared" ca="1" si="0"/>
        <v>14</v>
      </c>
    </row>
    <row r="17" spans="2:31" ht="15.75" customHeight="1">
      <c r="B17" s="49" t="str">
        <f ca="1">IFERROR(__xludf.DUMMYFUNCTION("unique('Awesome People List-Master'!H5:H1000)"),"Indonesia")</f>
        <v>Indonesia</v>
      </c>
      <c r="C17" s="49">
        <f ca="1">COUNTIF('Awesome People List-Master'!$H$5:H1000,B17)</f>
        <v>441</v>
      </c>
      <c r="T17" s="56" t="str">
        <f ca="1">IFERROR(__xludf.DUMMYFUNCTION("""COMPUTED_VALUE"""),"GetZave.com")</f>
        <v>GetZave.com</v>
      </c>
      <c r="U17" s="49">
        <f ca="1">COUNTIF('Awesome People List-Master'!D:D,T17)</f>
        <v>5</v>
      </c>
      <c r="X17" s="333" t="s">
        <v>1577</v>
      </c>
      <c r="Y17" s="334">
        <v>10</v>
      </c>
      <c r="AB17" s="169">
        <f>ROUND('Awesome People List-Master'!A19,0)</f>
        <v>43922</v>
      </c>
      <c r="AD17" s="169">
        <f ca="1">IFERROR(__xludf.DUMMYFUNCTION("""COMPUTED_VALUE"""),43933)</f>
        <v>43933</v>
      </c>
      <c r="AE17" s="49">
        <f t="shared" ca="1" si="0"/>
        <v>17</v>
      </c>
    </row>
    <row r="18" spans="2:31" ht="15.75" customHeight="1">
      <c r="B18" s="49" t="str">
        <f ca="1">IFERROR(__xludf.DUMMYFUNCTION("""COMPUTED_VALUE"""),"Singapore")</f>
        <v>Singapore</v>
      </c>
      <c r="C18" s="49">
        <f ca="1">COUNTIF('Awesome People List-Master'!$H$5:H1000,B18)</f>
        <v>345</v>
      </c>
      <c r="N18" s="15" t="s">
        <v>23</v>
      </c>
      <c r="O18" s="15" t="s">
        <v>5218</v>
      </c>
      <c r="T18" s="49" t="str">
        <f ca="1">IFERROR(__xludf.DUMMYFUNCTION("""COMPUTED_VALUE"""),"Maltem Consulting Group")</f>
        <v>Maltem Consulting Group</v>
      </c>
      <c r="U18" s="49">
        <f ca="1">COUNTIF('Awesome People List-Master'!D:D,T18)</f>
        <v>1</v>
      </c>
      <c r="X18" s="333" t="s">
        <v>2034</v>
      </c>
      <c r="Y18" s="334">
        <v>8</v>
      </c>
      <c r="AB18" s="169">
        <f>ROUND('Awesome People List-Master'!A20,0)</f>
        <v>43922</v>
      </c>
      <c r="AD18" s="169">
        <f ca="1">IFERROR(__xludf.DUMMYFUNCTION("""COMPUTED_VALUE"""),43934)</f>
        <v>43934</v>
      </c>
      <c r="AE18" s="49">
        <f t="shared" ca="1" si="0"/>
        <v>40</v>
      </c>
    </row>
    <row r="19" spans="2:31" ht="15.75" customHeight="1">
      <c r="B19" s="49" t="str">
        <f ca="1">IFERROR(__xludf.DUMMYFUNCTION("""COMPUTED_VALUE"""),"India")</f>
        <v>India</v>
      </c>
      <c r="C19" s="49">
        <f ca="1">COUNTIF('Awesome People List-Master'!$H$5:H1000,B19)</f>
        <v>44</v>
      </c>
      <c r="N19" s="35" t="s">
        <v>83</v>
      </c>
      <c r="O19" s="49">
        <f>COUNTIF('Awesome People List-Master'!M$5:M1000, N19)</f>
        <v>649</v>
      </c>
      <c r="T19" s="49" t="str">
        <f ca="1">IFERROR(__xludf.DUMMYFUNCTION("""COMPUTED_VALUE"""),"WorkFusion")</f>
        <v>WorkFusion</v>
      </c>
      <c r="U19" s="49">
        <f ca="1">COUNTIF('Awesome People List-Master'!D:D,T19)</f>
        <v>2</v>
      </c>
      <c r="X19" s="333" t="s">
        <v>1423</v>
      </c>
      <c r="Y19" s="334">
        <v>8</v>
      </c>
      <c r="AB19" s="169">
        <f>ROUND('Awesome People List-Master'!A21,0)</f>
        <v>43922</v>
      </c>
      <c r="AD19" s="169">
        <f ca="1">IFERROR(__xludf.DUMMYFUNCTION("""COMPUTED_VALUE"""),43935)</f>
        <v>43935</v>
      </c>
      <c r="AE19" s="49">
        <f t="shared" ca="1" si="0"/>
        <v>21</v>
      </c>
    </row>
    <row r="20" spans="2:31" ht="15.75" customHeight="1">
      <c r="B20" s="49" t="str">
        <f ca="1">IFERROR(__xludf.DUMMYFUNCTION("""COMPUTED_VALUE"""),"Vietnam")</f>
        <v>Vietnam</v>
      </c>
      <c r="C20" s="49">
        <f ca="1">COUNTIF('Awesome People List-Master'!$H$5:H1000,B20)</f>
        <v>4</v>
      </c>
      <c r="N20" s="35" t="s">
        <v>67</v>
      </c>
      <c r="O20" s="49">
        <f>COUNTIF('Awesome People List-Master'!M$5:M1000, N20)</f>
        <v>304</v>
      </c>
      <c r="T20" s="49" t="str">
        <f ca="1">IFERROR(__xludf.DUMMYFUNCTION("""COMPUTED_VALUE"""),"PT Bussr Technologies Indonesia")</f>
        <v>PT Bussr Technologies Indonesia</v>
      </c>
      <c r="U20" s="49">
        <f ca="1">COUNTIF('Awesome People List-Master'!D:D,T20)</f>
        <v>1</v>
      </c>
      <c r="X20" s="333" t="s">
        <v>5276</v>
      </c>
      <c r="Y20" s="334">
        <v>7</v>
      </c>
      <c r="AB20" s="169">
        <f>ROUND('Awesome People List-Master'!A22,0)</f>
        <v>43922</v>
      </c>
      <c r="AD20" s="169">
        <f ca="1">IFERROR(__xludf.DUMMYFUNCTION("""COMPUTED_VALUE"""),43936)</f>
        <v>43936</v>
      </c>
      <c r="AE20" s="49">
        <f t="shared" ca="1" si="0"/>
        <v>49</v>
      </c>
    </row>
    <row r="21" spans="2:31" ht="15.75" customHeight="1">
      <c r="B21" s="49" t="str">
        <f ca="1">IFERROR(__xludf.DUMMYFUNCTION("""COMPUTED_VALUE"""),"United Arab Emirates")</f>
        <v>United Arab Emirates</v>
      </c>
      <c r="C21" s="49">
        <f ca="1">COUNTIF('Awesome People List-Master'!$H$5:H1000,B21)</f>
        <v>2</v>
      </c>
      <c r="T21" s="49" t="str">
        <f ca="1">IFERROR(__xludf.DUMMYFUNCTION("""COMPUTED_VALUE"""),"AUM Biosciences")</f>
        <v>AUM Biosciences</v>
      </c>
      <c r="U21" s="49">
        <f ca="1">COUNTIF('Awesome People List-Master'!D:D,T21)</f>
        <v>1</v>
      </c>
      <c r="X21" s="333" t="s">
        <v>3382</v>
      </c>
      <c r="Y21" s="334">
        <v>7</v>
      </c>
      <c r="AB21" s="169">
        <f>ROUND('Awesome People List-Master'!A23,0)</f>
        <v>43922</v>
      </c>
      <c r="AD21" s="169">
        <f ca="1">IFERROR(__xludf.DUMMYFUNCTION("""COMPUTED_VALUE"""),43937)</f>
        <v>43937</v>
      </c>
      <c r="AE21" s="49">
        <f t="shared" ca="1" si="0"/>
        <v>28</v>
      </c>
    </row>
    <row r="22" spans="2:31" ht="15.75" customHeight="1">
      <c r="B22" s="49" t="str">
        <f ca="1">IFERROR(__xludf.DUMMYFUNCTION("""COMPUTED_VALUE"""),"Thailand")</f>
        <v>Thailand</v>
      </c>
      <c r="C22" s="49">
        <f ca="1">COUNTIF('Awesome People List-Master'!$H$5:H1000,B22)</f>
        <v>22</v>
      </c>
      <c r="T22" s="49" t="str">
        <f ca="1">IFERROR(__xludf.DUMMYFUNCTION("""COMPUTED_VALUE"""),"United Channels")</f>
        <v>United Channels</v>
      </c>
      <c r="U22" s="49">
        <f ca="1">COUNTIF('Awesome People List-Master'!D:D,T22)</f>
        <v>1</v>
      </c>
      <c r="X22" s="333" t="s">
        <v>2141</v>
      </c>
      <c r="Y22" s="334">
        <v>7</v>
      </c>
      <c r="AB22" s="169">
        <f>ROUND('Awesome People List-Master'!A24,0)</f>
        <v>43922</v>
      </c>
      <c r="AD22" s="169">
        <f ca="1">IFERROR(__xludf.DUMMYFUNCTION("""COMPUTED_VALUE"""),43938)</f>
        <v>43938</v>
      </c>
      <c r="AE22" s="49">
        <f t="shared" ca="1" si="0"/>
        <v>22</v>
      </c>
    </row>
    <row r="23" spans="2:31" ht="15.75" customHeight="1">
      <c r="B23" s="49" t="str">
        <f ca="1">IFERROR(__xludf.DUMMYFUNCTION("""COMPUTED_VALUE"""),"Philippines")</f>
        <v>Philippines</v>
      </c>
      <c r="C23" s="49">
        <f ca="1">COUNTIF('Awesome People List-Master'!$H$5:H1000,B23)</f>
        <v>20</v>
      </c>
      <c r="T23" s="49" t="str">
        <f ca="1">IFERROR(__xludf.DUMMYFUNCTION("""COMPUTED_VALUE"""),"Pacific Liberty (Singapore) Pte Ltd")</f>
        <v>Pacific Liberty (Singapore) Pte Ltd</v>
      </c>
      <c r="U23" s="49">
        <f ca="1">COUNTIF('Awesome People List-Master'!D:D,T23)</f>
        <v>1</v>
      </c>
      <c r="X23" s="333" t="s">
        <v>6222</v>
      </c>
      <c r="Y23" s="334">
        <v>6</v>
      </c>
      <c r="AB23" s="169">
        <f>ROUND('Awesome People List-Master'!A25,0)</f>
        <v>43922</v>
      </c>
      <c r="AD23" s="169">
        <f ca="1">IFERROR(__xludf.DUMMYFUNCTION("""COMPUTED_VALUE"""),43939)</f>
        <v>43939</v>
      </c>
      <c r="AE23" s="49">
        <f t="shared" ca="1" si="0"/>
        <v>10</v>
      </c>
    </row>
    <row r="24" spans="2:31" ht="15.75" customHeight="1">
      <c r="B24" s="49" t="str">
        <f ca="1">IFERROR(__xludf.DUMMYFUNCTION("""COMPUTED_VALUE"""),"Singapore, Indonesia , India")</f>
        <v>Singapore, Indonesia , India</v>
      </c>
      <c r="C24" s="49">
        <f ca="1">COUNTIF('Awesome People List-Master'!$H$5:H1000,B24)</f>
        <v>1</v>
      </c>
      <c r="T24" s="49" t="str">
        <f ca="1">IFERROR(__xludf.DUMMYFUNCTION("""COMPUTED_VALUE"""),"Antler")</f>
        <v>Antler</v>
      </c>
      <c r="U24" s="49">
        <f ca="1">COUNTIF('Awesome People List-Master'!D:D,T24)</f>
        <v>2</v>
      </c>
      <c r="X24" s="333" t="s">
        <v>5743</v>
      </c>
      <c r="Y24" s="334">
        <v>6</v>
      </c>
      <c r="AB24" s="169">
        <f>ROUND('Awesome People List-Master'!A26,0)</f>
        <v>43922</v>
      </c>
      <c r="AD24" s="169">
        <f ca="1">IFERROR(__xludf.DUMMYFUNCTION("""COMPUTED_VALUE"""),43940)</f>
        <v>43940</v>
      </c>
      <c r="AE24" s="49">
        <f t="shared" ca="1" si="0"/>
        <v>10</v>
      </c>
    </row>
    <row r="25" spans="2:31" ht="15.75" customHeight="1">
      <c r="B25" s="49" t="str">
        <f ca="1">IFERROR(__xludf.DUMMYFUNCTION("""COMPUTED_VALUE"""),"Malaysia")</f>
        <v>Malaysia</v>
      </c>
      <c r="C25" s="49">
        <f ca="1">COUNTIF('Awesome People List-Master'!$H$5:H1000,B25)</f>
        <v>75</v>
      </c>
      <c r="T25" s="49" t="str">
        <f ca="1">IFERROR(__xludf.DUMMYFUNCTION("""COMPUTED_VALUE"""),"Luminaire AI Pte Ltd")</f>
        <v>Luminaire AI Pte Ltd</v>
      </c>
      <c r="U25" s="49">
        <f ca="1">COUNTIF('Awesome People List-Master'!D:D,T25)</f>
        <v>1</v>
      </c>
      <c r="X25" s="333" t="s">
        <v>3994</v>
      </c>
      <c r="Y25" s="334">
        <v>6</v>
      </c>
      <c r="AB25" s="169">
        <f>ROUND('Awesome People List-Master'!A27,0)</f>
        <v>43922</v>
      </c>
      <c r="AD25" s="169">
        <f ca="1">IFERROR(__xludf.DUMMYFUNCTION("""COMPUTED_VALUE"""),43941)</f>
        <v>43941</v>
      </c>
      <c r="AE25" s="49">
        <f t="shared" ca="1" si="0"/>
        <v>19</v>
      </c>
    </row>
    <row r="26" spans="2:31" ht="15.75" customHeight="1">
      <c r="B26" s="49" t="str">
        <f ca="1">IFERROR(__xludf.DUMMYFUNCTION("""COMPUTED_VALUE"""),"Romania")</f>
        <v>Romania</v>
      </c>
      <c r="C26" s="49">
        <f ca="1">COUNTIF('Awesome People List-Master'!$H$5:H1000,B26)</f>
        <v>1</v>
      </c>
      <c r="T26" s="49" t="str">
        <f ca="1">IFERROR(__xludf.DUMMYFUNCTION("""COMPUTED_VALUE"""),"90 Seconds")</f>
        <v>90 Seconds</v>
      </c>
      <c r="U26" s="49">
        <f ca="1">COUNTIF('Awesome People List-Master'!D:D,T26)</f>
        <v>1</v>
      </c>
      <c r="X26" s="333" t="s">
        <v>2296</v>
      </c>
      <c r="Y26" s="334">
        <v>6</v>
      </c>
      <c r="AB26" s="169">
        <f>ROUND('Awesome People List-Master'!A28,0)</f>
        <v>43922</v>
      </c>
      <c r="AD26" s="169">
        <f ca="1">IFERROR(__xludf.DUMMYFUNCTION("""COMPUTED_VALUE"""),43942)</f>
        <v>43942</v>
      </c>
      <c r="AE26" s="49">
        <f t="shared" ca="1" si="0"/>
        <v>21</v>
      </c>
    </row>
    <row r="27" spans="2:31" ht="15.75" customHeight="1">
      <c r="B27" s="49" t="str">
        <f ca="1">IFERROR(__xludf.DUMMYFUNCTION("""COMPUTED_VALUE"""),"United Arab Emirates ")</f>
        <v xml:space="preserve">United Arab Emirates </v>
      </c>
      <c r="C27" s="49">
        <f ca="1">COUNTIF('Awesome People List-Master'!$H$5:H1000,B27)</f>
        <v>1</v>
      </c>
      <c r="T27" s="49" t="str">
        <f ca="1">IFERROR(__xludf.DUMMYFUNCTION("""COMPUTED_VALUE"""),"The Embassy of the Republic of Indonesia ")</f>
        <v xml:space="preserve">The Embassy of the Republic of Indonesia </v>
      </c>
      <c r="U27" s="49">
        <f ca="1">COUNTIF('Awesome People List-Master'!D:D,T27)</f>
        <v>1</v>
      </c>
      <c r="X27" s="333" t="s">
        <v>479</v>
      </c>
      <c r="Y27" s="334">
        <v>6</v>
      </c>
      <c r="AB27" s="169">
        <f>ROUND('Awesome People List-Master'!A29,0)</f>
        <v>43922</v>
      </c>
      <c r="AD27" s="169">
        <f ca="1">IFERROR(__xludf.DUMMYFUNCTION("""COMPUTED_VALUE"""),43943)</f>
        <v>43943</v>
      </c>
      <c r="AE27" s="49">
        <f t="shared" ca="1" si="0"/>
        <v>21</v>
      </c>
    </row>
    <row r="28" spans="2:31" ht="15.75" customHeight="1">
      <c r="B28" s="49" t="str">
        <f ca="1">IFERROR(__xludf.DUMMYFUNCTION("""COMPUTED_VALUE"""),"US")</f>
        <v>US</v>
      </c>
      <c r="C28" s="49">
        <f ca="1">COUNTIF('Awesome People List-Master'!$H$5:H1000,B28)</f>
        <v>2</v>
      </c>
      <c r="T28" s="49" t="str">
        <f ca="1">IFERROR(__xludf.DUMMYFUNCTION("""COMPUTED_VALUE"""),"Tallship Adventures Pte Ltd")</f>
        <v>Tallship Adventures Pte Ltd</v>
      </c>
      <c r="U28" s="49">
        <f ca="1">COUNTIF('Awesome People List-Master'!D:D,T28)</f>
        <v>1</v>
      </c>
      <c r="X28" s="333" t="s">
        <v>1736</v>
      </c>
      <c r="Y28" s="334">
        <v>6</v>
      </c>
      <c r="AB28" s="169">
        <f>ROUND('Awesome People List-Master'!A30,0)</f>
        <v>43922</v>
      </c>
      <c r="AD28" s="169">
        <f ca="1">IFERROR(__xludf.DUMMYFUNCTION("""COMPUTED_VALUE"""),43944)</f>
        <v>43944</v>
      </c>
      <c r="AE28" s="49">
        <f t="shared" ca="1" si="0"/>
        <v>11</v>
      </c>
    </row>
    <row r="29" spans="2:31" ht="15.75" customHeight="1">
      <c r="B29" s="49" t="str">
        <f ca="1">IFERROR(__xludf.DUMMYFUNCTION("""COMPUTED_VALUE"""),"Spain")</f>
        <v>Spain</v>
      </c>
      <c r="C29" s="49">
        <f ca="1">COUNTIF('Awesome People List-Master'!$H$5:H1000,B29)</f>
        <v>2</v>
      </c>
      <c r="T29" s="49" t="str">
        <f ca="1">IFERROR(__xludf.DUMMYFUNCTION("""COMPUTED_VALUE"""),"KeyReply")</f>
        <v>KeyReply</v>
      </c>
      <c r="U29" s="49">
        <f ca="1">COUNTIF('Awesome People List-Master'!D:D,T29)</f>
        <v>2</v>
      </c>
      <c r="X29" s="333" t="s">
        <v>3467</v>
      </c>
      <c r="Y29" s="334">
        <v>5</v>
      </c>
      <c r="AB29" s="169">
        <f>ROUND('Awesome People List-Master'!A31,0)</f>
        <v>43922</v>
      </c>
      <c r="AD29" s="169">
        <f ca="1">IFERROR(__xludf.DUMMYFUNCTION("""COMPUTED_VALUE"""),0)</f>
        <v>0</v>
      </c>
      <c r="AE29" s="49">
        <f t="shared" ca="1" si="0"/>
        <v>247</v>
      </c>
    </row>
    <row r="30" spans="2:31" ht="15.75" customHeight="1">
      <c r="B30" s="49" t="str">
        <f ca="1">IFERROR(__xludf.DUMMYFUNCTION("""COMPUTED_VALUE"""),"United Kingdom")</f>
        <v>United Kingdom</v>
      </c>
      <c r="C30" s="49">
        <f ca="1">COUNTIF('Awesome People List-Master'!$H$5:H1000,B30)</f>
        <v>5</v>
      </c>
      <c r="T30" s="49" t="str">
        <f ca="1">IFERROR(__xludf.DUMMYFUNCTION("""COMPUTED_VALUE"""),"Qazwa")</f>
        <v>Qazwa</v>
      </c>
      <c r="U30" s="49">
        <f ca="1">COUNTIF('Awesome People List-Master'!D:D,T30)</f>
        <v>4</v>
      </c>
      <c r="X30" s="333" t="s">
        <v>5005</v>
      </c>
      <c r="Y30" s="334">
        <v>5</v>
      </c>
      <c r="AB30" s="169">
        <f>ROUND('Awesome People List-Master'!A32,0)</f>
        <v>43922</v>
      </c>
      <c r="AE30" s="49">
        <f t="shared" si="0"/>
        <v>247</v>
      </c>
    </row>
    <row r="31" spans="2:31" ht="15.75" customHeight="1">
      <c r="B31" s="49" t="str">
        <f ca="1">IFERROR(__xludf.DUMMYFUNCTION("""COMPUTED_VALUE"""),"Australia-Perth")</f>
        <v>Australia-Perth</v>
      </c>
      <c r="C31" s="49">
        <f ca="1">COUNTIF('Awesome People List-Master'!$H$5:H1000,B31)</f>
        <v>1</v>
      </c>
      <c r="T31" s="49" t="str">
        <f ca="1">IFERROR(__xludf.DUMMYFUNCTION("""COMPUTED_VALUE"""),"Onchain Custodian ")</f>
        <v xml:space="preserve">Onchain Custodian </v>
      </c>
      <c r="U31" s="49">
        <f ca="1">COUNTIF('Awesome People List-Master'!D:D,T31)</f>
        <v>1</v>
      </c>
      <c r="X31" s="333" t="s">
        <v>1566</v>
      </c>
      <c r="Y31" s="334">
        <v>5</v>
      </c>
      <c r="AB31" s="169">
        <f>ROUND('Awesome People List-Master'!A33,0)</f>
        <v>43922</v>
      </c>
      <c r="AE31" s="49">
        <f t="shared" si="0"/>
        <v>247</v>
      </c>
    </row>
    <row r="32" spans="2:31" ht="15.75" customHeight="1">
      <c r="B32" s="49" t="str">
        <f ca="1">IFERROR(__xludf.DUMMYFUNCTION("""COMPUTED_VALUE"""),"Hong Kong")</f>
        <v>Hong Kong</v>
      </c>
      <c r="C32" s="49">
        <f ca="1">COUNTIF('Awesome People List-Master'!$H$5:H1000,B32)</f>
        <v>3</v>
      </c>
      <c r="T32" s="49" t="str">
        <f ca="1">IFERROR(__xludf.DUMMYFUNCTION("""COMPUTED_VALUE"""),"Closers.com / Mev-Rael London")</f>
        <v>Closers.com / Mev-Rael London</v>
      </c>
      <c r="U32" s="49">
        <f ca="1">COUNTIF('Awesome People List-Master'!D:D,T32)</f>
        <v>1</v>
      </c>
      <c r="X32" s="333" t="s">
        <v>197</v>
      </c>
      <c r="Y32" s="334">
        <v>5</v>
      </c>
      <c r="AB32" s="169">
        <f>ROUND('Awesome People List-Master'!A34,0)</f>
        <v>43922</v>
      </c>
      <c r="AE32" s="49">
        <f t="shared" si="0"/>
        <v>247</v>
      </c>
    </row>
    <row r="33" spans="2:31" ht="15.75" customHeight="1">
      <c r="B33" s="49" t="str">
        <f ca="1">IFERROR(__xludf.DUMMYFUNCTION("""COMPUTED_VALUE"""),"Iceland")</f>
        <v>Iceland</v>
      </c>
      <c r="C33" s="49">
        <f ca="1">COUNTIF('Awesome People List-Master'!$H$5:H1000,B33)</f>
        <v>1</v>
      </c>
      <c r="T33" s="49" t="str">
        <f ca="1">IFERROR(__xludf.DUMMYFUNCTION("""COMPUTED_VALUE"""),"IWF ")</f>
        <v xml:space="preserve">IWF </v>
      </c>
      <c r="U33" s="49">
        <f ca="1">COUNTIF('Awesome People List-Master'!D:D,T33)</f>
        <v>1</v>
      </c>
      <c r="X33" s="333" t="s">
        <v>1231</v>
      </c>
      <c r="Y33" s="334">
        <v>5</v>
      </c>
      <c r="AB33" s="169">
        <f>ROUND('Awesome People List-Master'!A35,0)</f>
        <v>43922</v>
      </c>
      <c r="AE33" s="49">
        <f t="shared" si="0"/>
        <v>247</v>
      </c>
    </row>
    <row r="34" spans="2:31" ht="15.75" customHeight="1">
      <c r="B34" s="49" t="str">
        <f ca="1">IFERROR(__xludf.DUMMYFUNCTION("""COMPUTED_VALUE"""),"Singapore, United Kingdom")</f>
        <v>Singapore, United Kingdom</v>
      </c>
      <c r="C34" s="49">
        <f ca="1">COUNTIF('Awesome People List-Master'!$H$5:H1000,B34)</f>
        <v>1</v>
      </c>
      <c r="T34" s="49" t="str">
        <f ca="1">IFERROR(__xludf.DUMMYFUNCTION("""COMPUTED_VALUE"""),"BeMyGuest Pte. Ltd.")</f>
        <v>BeMyGuest Pte. Ltd.</v>
      </c>
      <c r="U34" s="49">
        <f ca="1">COUNTIF('Awesome People List-Master'!D:D,T34)</f>
        <v>2</v>
      </c>
      <c r="X34" s="333" t="s">
        <v>5169</v>
      </c>
      <c r="Y34" s="334">
        <v>4</v>
      </c>
      <c r="AB34" s="169">
        <f>ROUND('Awesome People List-Master'!A36,0)</f>
        <v>43922</v>
      </c>
      <c r="AE34" s="49">
        <f t="shared" si="0"/>
        <v>247</v>
      </c>
    </row>
    <row r="35" spans="2:31" ht="15.75" customHeight="1">
      <c r="B35" s="49" t="str">
        <f ca="1">IFERROR(__xludf.DUMMYFUNCTION("""COMPUTED_VALUE"""),"Myanmar")</f>
        <v>Myanmar</v>
      </c>
      <c r="C35" s="49">
        <f ca="1">COUNTIF('Awesome People List-Master'!$H$5:H1000,B35)</f>
        <v>1</v>
      </c>
      <c r="T35" s="49" t="str">
        <f ca="1">IFERROR(__xludf.DUMMYFUNCTION("""COMPUTED_VALUE"""),"Lendela")</f>
        <v>Lendela</v>
      </c>
      <c r="U35" s="49">
        <f ca="1">COUNTIF('Awesome People List-Master'!D:D,T35)</f>
        <v>1</v>
      </c>
      <c r="X35" s="333" t="s">
        <v>3567</v>
      </c>
      <c r="Y35" s="334">
        <v>4</v>
      </c>
      <c r="AB35" s="169">
        <f>ROUND('Awesome People List-Master'!A37,0)</f>
        <v>43922</v>
      </c>
      <c r="AE35" s="49">
        <f t="shared" si="0"/>
        <v>247</v>
      </c>
    </row>
    <row r="36" spans="2:31" ht="15.75" customHeight="1">
      <c r="B36" s="49" t="str">
        <f ca="1">IFERROR(__xludf.DUMMYFUNCTION("""COMPUTED_VALUE"""),"South Korea")</f>
        <v>South Korea</v>
      </c>
      <c r="C36" s="49">
        <f ca="1">COUNTIF('Awesome People List-Master'!$H$5:H1000,B36)</f>
        <v>1</v>
      </c>
      <c r="T36" s="49" t="str">
        <f ca="1">IFERROR(__xludf.DUMMYFUNCTION("""COMPUTED_VALUE"""),"INVNT")</f>
        <v>INVNT</v>
      </c>
      <c r="U36" s="49">
        <f ca="1">COUNTIF('Awesome People List-Master'!D:D,T36)</f>
        <v>1</v>
      </c>
      <c r="X36" s="333" t="s">
        <v>4337</v>
      </c>
      <c r="Y36" s="334">
        <v>4</v>
      </c>
      <c r="AB36" s="169">
        <f>ROUND('Awesome People List-Master'!A38,0)</f>
        <v>43922</v>
      </c>
      <c r="AE36" s="49">
        <f t="shared" si="0"/>
        <v>247</v>
      </c>
    </row>
    <row r="37" spans="2:31" ht="15.75" customHeight="1">
      <c r="B37" s="49" t="str">
        <f ca="1">IFERROR(__xludf.DUMMYFUNCTION("""COMPUTED_VALUE"""),"Hong-Kong, China")</f>
        <v>Hong-Kong, China</v>
      </c>
      <c r="C37" s="49">
        <f ca="1">COUNTIF('Awesome People List-Master'!$H$5:H1000,B37)</f>
        <v>1</v>
      </c>
      <c r="T37" s="49" t="str">
        <f ca="1">IFERROR(__xludf.DUMMYFUNCTION("""COMPUTED_VALUE"""),"Aptsys Technologies Pte ltd")</f>
        <v>Aptsys Technologies Pte ltd</v>
      </c>
      <c r="U37" s="49">
        <f ca="1">COUNTIF('Awesome People List-Master'!D:D,T37)</f>
        <v>1</v>
      </c>
      <c r="X37" s="333" t="s">
        <v>5827</v>
      </c>
      <c r="Y37" s="334">
        <v>4</v>
      </c>
      <c r="AB37" s="169">
        <f>ROUND('Awesome People List-Master'!A39,0)</f>
        <v>43922</v>
      </c>
      <c r="AE37" s="49">
        <f t="shared" si="0"/>
        <v>247</v>
      </c>
    </row>
    <row r="38" spans="2:31" ht="15.75" customHeight="1">
      <c r="B38" s="49" t="str">
        <f ca="1">IFERROR(__xludf.DUMMYFUNCTION("""COMPUTED_VALUE"""),"Open to relocation (Korean nationality)")</f>
        <v>Open to relocation (Korean nationality)</v>
      </c>
      <c r="C38" s="49">
        <f ca="1">COUNTIF('Awesome People List-Master'!$H$5:H1000,B38)</f>
        <v>1</v>
      </c>
      <c r="T38" s="49" t="str">
        <f ca="1">IFERROR(__xludf.DUMMYFUNCTION("""COMPUTED_VALUE"""),"Goodwill Advisory Services")</f>
        <v>Goodwill Advisory Services</v>
      </c>
      <c r="U38" s="49">
        <f ca="1">COUNTIF('Awesome People List-Master'!D:D,T38)</f>
        <v>1</v>
      </c>
      <c r="X38" s="333" t="s">
        <v>348</v>
      </c>
      <c r="Y38" s="334">
        <v>4</v>
      </c>
      <c r="AB38" s="169">
        <f>ROUND('Awesome People List-Master'!A40,0)</f>
        <v>43922</v>
      </c>
      <c r="AE38" s="49">
        <f t="shared" si="0"/>
        <v>247</v>
      </c>
    </row>
    <row r="39" spans="2:31" ht="15.75" customHeight="1">
      <c r="B39" s="49" t="str">
        <f ca="1">IFERROR(__xludf.DUMMYFUNCTION("""COMPUTED_VALUE"""),"Singapore, US")</f>
        <v>Singapore, US</v>
      </c>
      <c r="C39" s="49">
        <f ca="1">COUNTIF('Awesome People List-Master'!$H$5:H1000,B39)</f>
        <v>1</v>
      </c>
      <c r="T39" s="49" t="str">
        <f ca="1">IFERROR(__xludf.DUMMYFUNCTION("""COMPUTED_VALUE"""),"Get My Parking")</f>
        <v>Get My Parking</v>
      </c>
      <c r="U39" s="49">
        <f ca="1">COUNTIF('Awesome People List-Master'!D:D,T39)</f>
        <v>1</v>
      </c>
      <c r="X39" s="333" t="s">
        <v>2277</v>
      </c>
      <c r="Y39" s="334">
        <v>4</v>
      </c>
      <c r="AB39" s="169">
        <f>ROUND('Awesome People List-Master'!A41,0)</f>
        <v>43922</v>
      </c>
      <c r="AE39" s="49">
        <f t="shared" si="0"/>
        <v>247</v>
      </c>
    </row>
    <row r="40" spans="2:31" ht="15.75" customHeight="1">
      <c r="B40" s="49" t="str">
        <f ca="1">IFERROR(__xludf.DUMMYFUNCTION("""COMPUTED_VALUE"""),"Korea")</f>
        <v>Korea</v>
      </c>
      <c r="C40" s="49">
        <f ca="1">COUNTIF('Awesome People List-Master'!$H$5:H1000,B40)</f>
        <v>1</v>
      </c>
      <c r="T40" s="49" t="str">
        <f ca="1">IFERROR(__xludf.DUMMYFUNCTION("""COMPUTED_VALUE"""),"mekari")</f>
        <v>mekari</v>
      </c>
      <c r="U40" s="49">
        <f ca="1">COUNTIF('Awesome People List-Master'!D:D,T40)</f>
        <v>3</v>
      </c>
      <c r="X40" s="333" t="s">
        <v>2403</v>
      </c>
      <c r="Y40" s="334">
        <v>4</v>
      </c>
      <c r="AB40" s="169">
        <f>ROUND('Awesome People List-Master'!A42,0)</f>
        <v>43922</v>
      </c>
      <c r="AE40" s="49">
        <f t="shared" si="0"/>
        <v>247</v>
      </c>
    </row>
    <row r="41" spans="2:31" ht="15.75" customHeight="1">
      <c r="B41" s="49" t="str">
        <f ca="1">IFERROR(__xludf.DUMMYFUNCTION("""COMPUTED_VALUE"""),"USA")</f>
        <v>USA</v>
      </c>
      <c r="C41" s="49">
        <f ca="1">COUNTIF('Awesome People List-Master'!$H$5:H1000,B41)</f>
        <v>4</v>
      </c>
      <c r="T41" s="49" t="str">
        <f ca="1">IFERROR(__xludf.DUMMYFUNCTION("""COMPUTED_VALUE"""),"Aibono ")</f>
        <v xml:space="preserve">Aibono </v>
      </c>
      <c r="U41" s="49">
        <f ca="1">COUNTIF('Awesome People List-Master'!D:D,T41)</f>
        <v>1</v>
      </c>
      <c r="X41" s="333" t="s">
        <v>1953</v>
      </c>
      <c r="Y41" s="334">
        <v>4</v>
      </c>
      <c r="AB41" s="169">
        <f>ROUND('Awesome People List-Master'!A43,0)</f>
        <v>43922</v>
      </c>
    </row>
    <row r="42" spans="2:31" ht="15.75" customHeight="1">
      <c r="B42" s="49" t="str">
        <f ca="1">IFERROR(__xludf.DUMMYFUNCTION("""COMPUTED_VALUE"""),"Australia")</f>
        <v>Australia</v>
      </c>
      <c r="C42" s="49">
        <f ca="1">COUNTIF('Awesome People List-Master'!$H$5:H1000,B42)</f>
        <v>1</v>
      </c>
      <c r="T42" s="49" t="str">
        <f ca="1">IFERROR(__xludf.DUMMYFUNCTION("""COMPUTED_VALUE"""),"Pandit Football")</f>
        <v>Pandit Football</v>
      </c>
      <c r="U42" s="49">
        <f ca="1">COUNTIF('Awesome People List-Master'!D:D,T42)</f>
        <v>1</v>
      </c>
      <c r="X42" s="333" t="s">
        <v>6846</v>
      </c>
      <c r="Y42" s="334">
        <v>3</v>
      </c>
      <c r="AB42" s="169">
        <f>ROUND('Awesome People List-Master'!A44,0)</f>
        <v>43922</v>
      </c>
    </row>
    <row r="43" spans="2:31" ht="15.75" customHeight="1">
      <c r="B43" s="49" t="str">
        <f ca="1">IFERROR(__xludf.DUMMYFUNCTION("""COMPUTED_VALUE"""),"Laos")</f>
        <v>Laos</v>
      </c>
      <c r="C43" s="49">
        <f ca="1">COUNTIF('Awesome People List-Master'!$H$5:H1000,B43)</f>
        <v>1</v>
      </c>
      <c r="T43" s="49" t="str">
        <f ca="1">IFERROR(__xludf.DUMMYFUNCTION("""COMPUTED_VALUE"""),"GoodhoodSG")</f>
        <v>GoodhoodSG</v>
      </c>
      <c r="U43" s="49">
        <f ca="1">COUNTIF('Awesome People List-Master'!D:D,T43)</f>
        <v>1</v>
      </c>
      <c r="X43" s="333" t="s">
        <v>6884</v>
      </c>
      <c r="Y43" s="334">
        <v>3</v>
      </c>
      <c r="AB43" s="169">
        <f>ROUND('Awesome People List-Master'!A45,0)</f>
        <v>43922</v>
      </c>
    </row>
    <row r="44" spans="2:31" ht="15.75" customHeight="1">
      <c r="B44" s="49" t="str">
        <f ca="1">IFERROR(__xludf.DUMMYFUNCTION("""COMPUTED_VALUE"""),"Uzbekistan")</f>
        <v>Uzbekistan</v>
      </c>
      <c r="C44" s="49">
        <f ca="1">COUNTIF('Awesome People List-Master'!$H$5:H1000,B44)</f>
        <v>1</v>
      </c>
      <c r="T44" s="49" t="str">
        <f ca="1">IFERROR(__xludf.DUMMYFUNCTION("""COMPUTED_VALUE"""),"Howlistic Life Holdings")</f>
        <v>Howlistic Life Holdings</v>
      </c>
      <c r="U44" s="49">
        <f ca="1">COUNTIF('Awesome People List-Master'!D:D,T44)</f>
        <v>1</v>
      </c>
      <c r="X44" s="333" t="s">
        <v>6808</v>
      </c>
      <c r="Y44" s="334">
        <v>3</v>
      </c>
      <c r="AB44" s="169">
        <f>ROUND('Awesome People List-Master'!A46,0)</f>
        <v>43922</v>
      </c>
    </row>
    <row r="45" spans="2:31" ht="15.75" customHeight="1">
      <c r="B45" s="49" t="str">
        <f ca="1">IFERROR(__xludf.DUMMYFUNCTION("""COMPUTED_VALUE"""),"United States")</f>
        <v>United States</v>
      </c>
      <c r="C45" s="49">
        <f ca="1">COUNTIF('Awesome People List-Master'!$H$5:H1000,B45)</f>
        <v>5</v>
      </c>
      <c r="T45" s="49" t="str">
        <f ca="1">IFERROR(__xludf.DUMMYFUNCTION("""COMPUTED_VALUE"""),"Visenze")</f>
        <v>Visenze</v>
      </c>
      <c r="U45" s="49">
        <f ca="1">COUNTIF('Awesome People List-Master'!D:D,T45)</f>
        <v>1</v>
      </c>
      <c r="X45" s="333" t="s">
        <v>6832</v>
      </c>
      <c r="Y45" s="334">
        <v>3</v>
      </c>
      <c r="AB45" s="169">
        <f>ROUND('Awesome People List-Master'!A47,0)</f>
        <v>43922</v>
      </c>
    </row>
    <row r="46" spans="2:31" ht="15.75" customHeight="1">
      <c r="B46" s="49" t="str">
        <f ca="1">IFERROR(__xludf.DUMMYFUNCTION("""COMPUTED_VALUE"""),"Based in Hong Kong, but have experience with SG, MY, ID, TH, PH, VN")</f>
        <v>Based in Hong Kong, but have experience with SG, MY, ID, TH, PH, VN</v>
      </c>
      <c r="C46" s="49">
        <f ca="1">COUNTIF('Awesome People List-Master'!$H$5:H1000,B46)</f>
        <v>1</v>
      </c>
      <c r="T46" s="49" t="str">
        <f ca="1">IFERROR(__xludf.DUMMYFUNCTION("""COMPUTED_VALUE"""),"Menduca")</f>
        <v>Menduca</v>
      </c>
      <c r="U46" s="49">
        <f ca="1">COUNTIF('Awesome People List-Master'!D:D,T46)</f>
        <v>1</v>
      </c>
      <c r="X46" s="333" t="s">
        <v>5734</v>
      </c>
      <c r="Y46" s="334">
        <v>3</v>
      </c>
      <c r="AB46" s="169">
        <f>ROUND('Awesome People List-Master'!A48,0)</f>
        <v>43922</v>
      </c>
    </row>
    <row r="47" spans="2:31" ht="15.75" customHeight="1">
      <c r="B47" s="49" t="str">
        <f ca="1">IFERROR(__xludf.DUMMYFUNCTION("""COMPUTED_VALUE"""),"Israel")</f>
        <v>Israel</v>
      </c>
      <c r="C47" s="49">
        <f ca="1">COUNTIF('Awesome People List-Master'!$H$5:H1000,B47)</f>
        <v>1</v>
      </c>
      <c r="T47" s="49" t="str">
        <f ca="1">IFERROR(__xludf.DUMMYFUNCTION("""COMPUTED_VALUE"""),"Shield (https://www.shield.com)")</f>
        <v>Shield (https://www.shield.com)</v>
      </c>
      <c r="U47" s="49">
        <f ca="1">COUNTIF('Awesome People List-Master'!D:D,T47)</f>
        <v>1</v>
      </c>
      <c r="X47" s="333" t="s">
        <v>6309</v>
      </c>
      <c r="Y47" s="334">
        <v>3</v>
      </c>
      <c r="AB47" s="169">
        <f>ROUND('Awesome People List-Master'!A49,0)</f>
        <v>43922</v>
      </c>
    </row>
    <row r="48" spans="2:31" ht="15.75" customHeight="1">
      <c r="B48" s="49" t="str">
        <f ca="1">IFERROR(__xludf.DUMMYFUNCTION("""COMPUTED_VALUE"""),"Poland or remote")</f>
        <v>Poland or remote</v>
      </c>
      <c r="C48" s="49">
        <f ca="1">COUNTIF('Awesome People List-Master'!$H$5:H1000,B48)</f>
        <v>1</v>
      </c>
      <c r="T48" s="49" t="str">
        <f ca="1">IFERROR(__xludf.DUMMYFUNCTION("""COMPUTED_VALUE"""),"Eames Consulting Group")</f>
        <v>Eames Consulting Group</v>
      </c>
      <c r="U48" s="49">
        <f ca="1">COUNTIF('Awesome People List-Master'!D:D,T48)</f>
        <v>1</v>
      </c>
      <c r="X48" s="333" t="s">
        <v>5192</v>
      </c>
      <c r="Y48" s="334">
        <v>3</v>
      </c>
      <c r="AB48" s="169">
        <f>ROUND('Awesome People List-Master'!A50,0)</f>
        <v>43922</v>
      </c>
    </row>
    <row r="49" spans="2:28" ht="15.75" customHeight="1">
      <c r="B49" s="49" t="str">
        <f ca="1">IFERROR(__xludf.DUMMYFUNCTION("""COMPUTED_VALUE"""),"Bangladesh")</f>
        <v>Bangladesh</v>
      </c>
      <c r="T49" s="49" t="str">
        <f ca="1">IFERROR(__xludf.DUMMYFUNCTION("""COMPUTED_VALUE"""),"Anchanto")</f>
        <v>Anchanto</v>
      </c>
      <c r="U49" s="49">
        <f ca="1">COUNTIF('Awesome People List-Master'!D:D,T49)</f>
        <v>1</v>
      </c>
      <c r="X49" s="333" t="s">
        <v>2335</v>
      </c>
      <c r="Y49" s="334">
        <v>3</v>
      </c>
      <c r="AB49" s="169">
        <f>ROUND('Awesome People List-Master'!A51,0)</f>
        <v>43922</v>
      </c>
    </row>
    <row r="50" spans="2:28" ht="15.75" customHeight="1">
      <c r="B50" s="49" t="str">
        <f ca="1">IFERROR(__xludf.DUMMYFUNCTION("""COMPUTED_VALUE"""),"Greater China")</f>
        <v>Greater China</v>
      </c>
      <c r="J50" s="231"/>
      <c r="T50" s="56" t="str">
        <f ca="1">IFERROR(__xludf.DUMMYFUNCTION("""COMPUTED_VALUE"""),"www.FlightClaimEU.com")</f>
        <v>www.FlightClaimEU.com</v>
      </c>
      <c r="U50" s="49">
        <f ca="1">COUNTIF('Awesome People List-Master'!D:D,T50)</f>
        <v>1</v>
      </c>
      <c r="X50" s="333" t="s">
        <v>1759</v>
      </c>
      <c r="Y50" s="334">
        <v>3</v>
      </c>
      <c r="AB50" s="169" t="e">
        <f>ROUND(#REF!,0)</f>
        <v>#REF!</v>
      </c>
    </row>
    <row r="51" spans="2:28" ht="15.75" customHeight="1">
      <c r="B51" s="49" t="str">
        <f ca="1">IFERROR(__xludf.DUMMYFUNCTION("""COMPUTED_VALUE"""),"Germany")</f>
        <v>Germany</v>
      </c>
      <c r="T51" s="49" t="str">
        <f ca="1">IFERROR(__xludf.DUMMYFUNCTION("""COMPUTED_VALUE"""),"Boxgreen Pte Ltd")</f>
        <v>Boxgreen Pte Ltd</v>
      </c>
      <c r="U51" s="49">
        <f ca="1">COUNTIF('Awesome People List-Master'!D:D,T51)</f>
        <v>1</v>
      </c>
      <c r="X51" s="333" t="s">
        <v>762</v>
      </c>
      <c r="Y51" s="334">
        <v>3</v>
      </c>
      <c r="AB51" s="169">
        <f>ROUND('Awesome People List-Master'!A52,0)</f>
        <v>43922</v>
      </c>
    </row>
    <row r="52" spans="2:28" ht="15.75" customHeight="1">
      <c r="B52" s="49" t="str">
        <f ca="1">IFERROR(__xludf.DUMMYFUNCTION("""COMPUTED_VALUE"""),"Kazakhstan")</f>
        <v>Kazakhstan</v>
      </c>
      <c r="T52" s="49" t="str">
        <f ca="1">IFERROR(__xludf.DUMMYFUNCTION("""COMPUTED_VALUE"""),"Rocket internet")</f>
        <v>Rocket internet</v>
      </c>
      <c r="U52" s="49">
        <f ca="1">COUNTIF('Awesome People List-Master'!D:D,T52)</f>
        <v>1</v>
      </c>
      <c r="X52" s="333" t="s">
        <v>1647</v>
      </c>
      <c r="Y52" s="334">
        <v>3</v>
      </c>
      <c r="AB52" s="169">
        <f>ROUND('Awesome People List-Master'!A53,0)</f>
        <v>43922</v>
      </c>
    </row>
    <row r="53" spans="2:28" ht="15.75" customHeight="1">
      <c r="B53" s="49" t="str">
        <f ca="1">IFERROR(__xludf.DUMMYFUNCTION("""COMPUTED_VALUE"""),"India ")</f>
        <v xml:space="preserve">India </v>
      </c>
      <c r="T53" s="49" t="str">
        <f ca="1">IFERROR(__xludf.DUMMYFUNCTION("""COMPUTED_VALUE"""),"Zilingo")</f>
        <v>Zilingo</v>
      </c>
      <c r="U53" s="49">
        <f ca="1">COUNTIF('Awesome People List-Master'!D:D,T53)</f>
        <v>15</v>
      </c>
      <c r="X53" s="333" t="s">
        <v>2806</v>
      </c>
      <c r="Y53" s="334">
        <v>3</v>
      </c>
      <c r="AB53" s="169">
        <f>ROUND('Awesome People List-Master'!A54,0)</f>
        <v>43922</v>
      </c>
    </row>
    <row r="54" spans="2:28" ht="15.75" customHeight="1">
      <c r="B54" s="49" t="str">
        <f ca="1">IFERROR(__xludf.DUMMYFUNCTION("""COMPUTED_VALUE"""),"Europe, WorkEx Asia/LatAm")</f>
        <v>Europe, WorkEx Asia/LatAm</v>
      </c>
      <c r="T54" s="49" t="str">
        <f ca="1">IFERROR(__xludf.DUMMYFUNCTION("""COMPUTED_VALUE"""),"Artefact")</f>
        <v>Artefact</v>
      </c>
      <c r="U54" s="49">
        <f ca="1">COUNTIF('Awesome People List-Master'!D:D,T54)</f>
        <v>1</v>
      </c>
      <c r="X54" s="333" t="s">
        <v>7185</v>
      </c>
      <c r="Y54" s="334">
        <v>2</v>
      </c>
      <c r="AB54" s="169">
        <f>ROUND('Awesome People List-Master'!A55,0)</f>
        <v>43922</v>
      </c>
    </row>
    <row r="55" spans="2:28" ht="15.75" customHeight="1">
      <c r="B55" s="49" t="str">
        <f ca="1">IFERROR(__xludf.DUMMYFUNCTION("""COMPUTED_VALUE"""),"Australia/Hong Kong")</f>
        <v>Australia/Hong Kong</v>
      </c>
      <c r="T55" s="49" t="str">
        <f ca="1">IFERROR(__xludf.DUMMYFUNCTION("""COMPUTED_VALUE"""),"Zeemart")</f>
        <v>Zeemart</v>
      </c>
      <c r="U55" s="49">
        <f ca="1">COUNTIF('Awesome People List-Master'!D:D,T55)</f>
        <v>2</v>
      </c>
      <c r="X55" s="333" t="s">
        <v>6965</v>
      </c>
      <c r="Y55" s="334">
        <v>2</v>
      </c>
      <c r="AB55" s="169">
        <f>ROUND('Awesome People List-Master'!A56,0)</f>
        <v>43922</v>
      </c>
    </row>
    <row r="56" spans="2:28" ht="15.75" customHeight="1">
      <c r="B56" s="49" t="str">
        <f ca="1">IFERROR(__xludf.DUMMYFUNCTION("""COMPUTED_VALUE"""),"Remote")</f>
        <v>Remote</v>
      </c>
      <c r="T56" s="49" t="str">
        <f ca="1">IFERROR(__xludf.DUMMYFUNCTION("""COMPUTED_VALUE"""),"Deloitte")</f>
        <v>Deloitte</v>
      </c>
      <c r="U56" s="49">
        <f ca="1">COUNTIF('Awesome People List-Master'!D:D,T56)</f>
        <v>2</v>
      </c>
      <c r="X56" s="333" t="s">
        <v>6872</v>
      </c>
      <c r="Y56" s="334">
        <v>2</v>
      </c>
      <c r="AB56" s="169">
        <f>ROUND('Awesome People List-Master'!A57,0)</f>
        <v>43923</v>
      </c>
    </row>
    <row r="57" spans="2:28" ht="15.75" customHeight="1">
      <c r="B57" s="49" t="str">
        <f ca="1">IFERROR(__xludf.DUMMYFUNCTION("""COMPUTED_VALUE"""),"Austria")</f>
        <v>Austria</v>
      </c>
      <c r="T57" s="49" t="str">
        <f ca="1">IFERROR(__xludf.DUMMYFUNCTION("""COMPUTED_VALUE"""),"Telepathy Labs")</f>
        <v>Telepathy Labs</v>
      </c>
      <c r="U57" s="49">
        <f ca="1">COUNTIF('Awesome People List-Master'!D:D,T57)</f>
        <v>2</v>
      </c>
      <c r="X57" s="333" t="s">
        <v>7143</v>
      </c>
      <c r="Y57" s="334">
        <v>2</v>
      </c>
      <c r="AB57" s="169">
        <f>ROUND('Awesome People List-Master'!A58,0)</f>
        <v>43923</v>
      </c>
    </row>
    <row r="58" spans="2:28" ht="13">
      <c r="B58" s="49" t="str">
        <f ca="1">IFERROR(__xludf.DUMMYFUNCTION("""COMPUTED_VALUE"""),"Netherlands")</f>
        <v>Netherlands</v>
      </c>
      <c r="T58" s="49" t="str">
        <f ca="1">IFERROR(__xludf.DUMMYFUNCTION("""COMPUTED_VALUE"""),"Schroder Investment Management (Singapore) Ltd")</f>
        <v>Schroder Investment Management (Singapore) Ltd</v>
      </c>
      <c r="U58" s="49">
        <f ca="1">COUNTIF('Awesome People List-Master'!D:D,T58)</f>
        <v>1</v>
      </c>
      <c r="X58" s="333" t="s">
        <v>7079</v>
      </c>
      <c r="Y58" s="334">
        <v>2</v>
      </c>
      <c r="AB58" s="169">
        <f>ROUND('Awesome People List-Master'!A59,0)</f>
        <v>43923</v>
      </c>
    </row>
    <row r="59" spans="2:28" ht="13">
      <c r="B59" s="49" t="str">
        <f ca="1">IFERROR(__xludf.DUMMYFUNCTION("""COMPUTED_VALUE"""),"")</f>
        <v/>
      </c>
      <c r="T59" s="49" t="str">
        <f ca="1">IFERROR(__xludf.DUMMYFUNCTION("""COMPUTED_VALUE"""),"Enrich social Media ")</f>
        <v xml:space="preserve">Enrich social Media </v>
      </c>
      <c r="U59" s="49">
        <f ca="1">COUNTIF('Awesome People List-Master'!D:D,T59)</f>
        <v>1</v>
      </c>
      <c r="X59" s="333" t="s">
        <v>7101</v>
      </c>
      <c r="Y59" s="334">
        <v>2</v>
      </c>
      <c r="AB59" s="169">
        <f>ROUND('Awesome People List-Master'!A60,0)</f>
        <v>43923</v>
      </c>
    </row>
    <row r="60" spans="2:28" ht="13">
      <c r="B60" s="49" t="str">
        <f ca="1">IFERROR(__xludf.DUMMYFUNCTION("""COMPUTED_VALUE"""),"Manila")</f>
        <v>Manila</v>
      </c>
      <c r="T60" s="49" t="str">
        <f ca="1">IFERROR(__xludf.DUMMYFUNCTION("""COMPUTED_VALUE"""),"AntWorks Pte Ltd")</f>
        <v>AntWorks Pte Ltd</v>
      </c>
      <c r="U60" s="49">
        <f ca="1">COUNTIF('Awesome People List-Master'!D:D,T60)</f>
        <v>1</v>
      </c>
      <c r="X60" s="333" t="s">
        <v>7012</v>
      </c>
      <c r="Y60" s="334">
        <v>2</v>
      </c>
      <c r="AB60" s="169">
        <f>ROUND('Awesome People List-Master'!A61,0)</f>
        <v>43923</v>
      </c>
    </row>
    <row r="61" spans="2:28" ht="13">
      <c r="B61" s="49" t="str">
        <f ca="1">IFERROR(__xludf.DUMMYFUNCTION("""COMPUTED_VALUE"""),"Other")</f>
        <v>Other</v>
      </c>
      <c r="T61" s="49" t="str">
        <f ca="1">IFERROR(__xludf.DUMMYFUNCTION("""COMPUTED_VALUE"""),"Droom International Pte. Ltd.")</f>
        <v>Droom International Pte. Ltd.</v>
      </c>
      <c r="U61" s="49">
        <f ca="1">COUNTIF('Awesome People List-Master'!D:D,T61)</f>
        <v>1</v>
      </c>
      <c r="X61" s="333" t="s">
        <v>5726</v>
      </c>
      <c r="Y61" s="334">
        <v>2</v>
      </c>
      <c r="AB61" s="169">
        <f>ROUND('Awesome People List-Master'!A62,0)</f>
        <v>43923</v>
      </c>
    </row>
    <row r="62" spans="2:28" ht="13">
      <c r="T62" s="49" t="str">
        <f ca="1">IFERROR(__xludf.DUMMYFUNCTION("""COMPUTED_VALUE"""),"SensorFlow")</f>
        <v>SensorFlow</v>
      </c>
      <c r="U62" s="49">
        <f ca="1">COUNTIF('Awesome People List-Master'!D:D,T62)</f>
        <v>3</v>
      </c>
      <c r="X62" s="333" t="s">
        <v>4287</v>
      </c>
      <c r="Y62" s="334">
        <v>2</v>
      </c>
      <c r="AB62" s="169">
        <f>ROUND('Awesome People List-Master'!A63,0)</f>
        <v>43923</v>
      </c>
    </row>
    <row r="63" spans="2:28" ht="13">
      <c r="T63" s="49" t="str">
        <f ca="1">IFERROR(__xludf.DUMMYFUNCTION("""COMPUTED_VALUE"""),"WeLab Virtual Bank")</f>
        <v>WeLab Virtual Bank</v>
      </c>
      <c r="U63" s="49">
        <f ca="1">COUNTIF('Awesome People List-Master'!D:D,T63)</f>
        <v>1</v>
      </c>
      <c r="X63" s="333" t="s">
        <v>4185</v>
      </c>
      <c r="Y63" s="334">
        <v>2</v>
      </c>
      <c r="AB63" s="169">
        <f>ROUND('Awesome People List-Master'!A64,0)</f>
        <v>43923</v>
      </c>
    </row>
    <row r="64" spans="2:28" ht="13">
      <c r="T64" s="49" t="str">
        <f ca="1">IFERROR(__xludf.DUMMYFUNCTION("""COMPUTED_VALUE"""),"Nubela")</f>
        <v>Nubela</v>
      </c>
      <c r="U64" s="49">
        <f ca="1">COUNTIF('Awesome People List-Master'!D:D,T64)</f>
        <v>1</v>
      </c>
      <c r="X64" s="333" t="s">
        <v>4192</v>
      </c>
      <c r="Y64" s="334">
        <v>2</v>
      </c>
      <c r="AB64" s="169">
        <f>ROUND('Awesome People List-Master'!A65,0)</f>
        <v>43923</v>
      </c>
    </row>
    <row r="65" spans="20:28" ht="13">
      <c r="T65" s="49" t="str">
        <f ca="1">IFERROR(__xludf.DUMMYFUNCTION("""COMPUTED_VALUE"""),"Omnilytics")</f>
        <v>Omnilytics</v>
      </c>
      <c r="U65" s="49">
        <f ca="1">COUNTIF('Awesome People List-Master'!D:D,T65)</f>
        <v>2</v>
      </c>
      <c r="X65" s="333" t="s">
        <v>4165</v>
      </c>
      <c r="Y65" s="334">
        <v>2</v>
      </c>
      <c r="AB65" s="169">
        <f>ROUND('Awesome People List-Master'!A66,0)</f>
        <v>43923</v>
      </c>
    </row>
    <row r="66" spans="20:28" ht="13">
      <c r="T66" s="49" t="str">
        <f ca="1">IFERROR(__xludf.DUMMYFUNCTION("""COMPUTED_VALUE"""),"ConnectOne")</f>
        <v>ConnectOne</v>
      </c>
      <c r="U66" s="49">
        <f ca="1">COUNTIF('Awesome People List-Master'!D:D,T66)</f>
        <v>1</v>
      </c>
      <c r="X66" s="333" t="s">
        <v>6302</v>
      </c>
      <c r="Y66" s="334">
        <v>2</v>
      </c>
      <c r="AB66" s="169">
        <f>ROUND('Awesome People List-Master'!A67,0)</f>
        <v>43923</v>
      </c>
    </row>
    <row r="67" spans="20:28" ht="13">
      <c r="T67" s="49" t="str">
        <f ca="1">IFERROR(__xludf.DUMMYFUNCTION("""COMPUTED_VALUE"""),"Financial Alliance Pte Ltd")</f>
        <v>Financial Alliance Pte Ltd</v>
      </c>
      <c r="U67" s="49">
        <f ca="1">COUNTIF('Awesome People List-Master'!D:D,T67)</f>
        <v>1</v>
      </c>
      <c r="X67" s="333" t="s">
        <v>4398</v>
      </c>
      <c r="Y67" s="334">
        <v>2</v>
      </c>
      <c r="AB67" s="169">
        <f>ROUND('Awesome People List-Master'!A68,0)</f>
        <v>43923</v>
      </c>
    </row>
    <row r="68" spans="20:28" ht="13">
      <c r="T68" s="49" t="str">
        <f ca="1">IFERROR(__xludf.DUMMYFUNCTION("""COMPUTED_VALUE"""),"Unilever")</f>
        <v>Unilever</v>
      </c>
      <c r="U68" s="49">
        <f ca="1">COUNTIF('Awesome People List-Master'!D:D,T68)</f>
        <v>1</v>
      </c>
      <c r="X68" s="333" t="s">
        <v>5555</v>
      </c>
      <c r="Y68" s="334">
        <v>2</v>
      </c>
      <c r="AB68" s="169">
        <f>ROUND('Awesome People List-Master'!A69,0)</f>
        <v>43923</v>
      </c>
    </row>
    <row r="69" spans="20:28" ht="13">
      <c r="T69" s="49" t="str">
        <f ca="1">IFERROR(__xludf.DUMMYFUNCTION("""COMPUTED_VALUE"""),"shareVentures ")</f>
        <v xml:space="preserve">shareVentures </v>
      </c>
      <c r="U69" s="49">
        <f ca="1">COUNTIF('Awesome People List-Master'!D:D,T69)</f>
        <v>1</v>
      </c>
      <c r="X69" s="333" t="s">
        <v>3977</v>
      </c>
      <c r="Y69" s="334">
        <v>2</v>
      </c>
      <c r="AB69" s="169">
        <f>ROUND('Awesome People List-Master'!A70,0)</f>
        <v>43923</v>
      </c>
    </row>
    <row r="70" spans="20:28" ht="13">
      <c r="T70" s="49" t="str">
        <f ca="1">IFERROR(__xludf.DUMMYFUNCTION("""COMPUTED_VALUE"""),"Ayopop Technology India Pvt Ltd")</f>
        <v>Ayopop Technology India Pvt Ltd</v>
      </c>
      <c r="U70" s="49">
        <f ca="1">COUNTIF('Awesome People List-Master'!D:D,T70)</f>
        <v>1</v>
      </c>
      <c r="X70" s="333" t="s">
        <v>5579</v>
      </c>
      <c r="Y70" s="334">
        <v>2</v>
      </c>
      <c r="AB70" s="169">
        <f>ROUND('Awesome People List-Master'!A71,0)</f>
        <v>43923</v>
      </c>
    </row>
    <row r="71" spans="20:28" ht="13">
      <c r="T71" s="49" t="str">
        <f ca="1">IFERROR(__xludf.DUMMYFUNCTION("""COMPUTED_VALUE"""),"Buyandship")</f>
        <v>Buyandship</v>
      </c>
      <c r="U71" s="49">
        <f ca="1">COUNTIF('Awesome People List-Master'!D:D,T71)</f>
        <v>1</v>
      </c>
      <c r="X71" s="333" t="s">
        <v>5627</v>
      </c>
      <c r="Y71" s="334">
        <v>2</v>
      </c>
      <c r="AB71" s="169">
        <f>ROUND('Awesome People List-Master'!A72,0)</f>
        <v>43923</v>
      </c>
    </row>
    <row r="72" spans="20:28" ht="13">
      <c r="T72" s="49" t="str">
        <f ca="1">IFERROR(__xludf.DUMMYFUNCTION("""COMPUTED_VALUE"""),"Jualo &amp; Carro")</f>
        <v>Jualo &amp; Carro</v>
      </c>
      <c r="U72" s="49">
        <f ca="1">COUNTIF('Awesome People List-Master'!D:D,T72)</f>
        <v>2</v>
      </c>
      <c r="X72" s="333" t="s">
        <v>4243</v>
      </c>
      <c r="Y72" s="334">
        <v>2</v>
      </c>
      <c r="AB72" s="169">
        <f>ROUND('Awesome People List-Master'!A73,0)</f>
        <v>43923</v>
      </c>
    </row>
    <row r="73" spans="20:28" ht="13">
      <c r="T73" s="49" t="str">
        <f ca="1">IFERROR(__xludf.DUMMYFUNCTION("""COMPUTED_VALUE"""),"Bank Danamon Indonesia, PT")</f>
        <v>Bank Danamon Indonesia, PT</v>
      </c>
      <c r="U73" s="49">
        <f ca="1">COUNTIF('Awesome People List-Master'!D:D,T73)</f>
        <v>1</v>
      </c>
      <c r="X73" s="333" t="s">
        <v>4150</v>
      </c>
      <c r="Y73" s="334">
        <v>2</v>
      </c>
      <c r="AB73" s="169">
        <f>ROUND('Awesome People List-Master'!A74,0)</f>
        <v>43923</v>
      </c>
    </row>
    <row r="74" spans="20:28" ht="13">
      <c r="T74" s="49" t="str">
        <f ca="1">IFERROR(__xludf.DUMMYFUNCTION("""COMPUTED_VALUE"""),"Refinitiv")</f>
        <v>Refinitiv</v>
      </c>
      <c r="U74" s="49">
        <f ca="1">COUNTIF('Awesome People List-Master'!D:D,T74)</f>
        <v>1</v>
      </c>
      <c r="X74" s="333" t="s">
        <v>6550</v>
      </c>
      <c r="Y74" s="334">
        <v>2</v>
      </c>
      <c r="AB74" s="169">
        <f>ROUND('Awesome People List-Master'!A75,0)</f>
        <v>43923</v>
      </c>
    </row>
    <row r="75" spans="20:28" ht="13">
      <c r="T75" s="49" t="str">
        <f ca="1">IFERROR(__xludf.DUMMYFUNCTION("""COMPUTED_VALUE"""),"GrabJobs")</f>
        <v>GrabJobs</v>
      </c>
      <c r="U75" s="49">
        <f ca="1">COUNTIF('Awesome People List-Master'!D:D,T75)</f>
        <v>1</v>
      </c>
      <c r="X75" s="333" t="s">
        <v>2937</v>
      </c>
      <c r="Y75" s="334">
        <v>2</v>
      </c>
      <c r="AB75" s="169">
        <f>ROUND('Awesome People List-Master'!A76,0)</f>
        <v>43923</v>
      </c>
    </row>
    <row r="76" spans="20:28" ht="13">
      <c r="T76" s="49" t="str">
        <f ca="1">IFERROR(__xludf.DUMMYFUNCTION("""COMPUTED_VALUE"""),"Dokter Mobil")</f>
        <v>Dokter Mobil</v>
      </c>
      <c r="U76" s="49">
        <f ca="1">COUNTIF('Awesome People List-Master'!D:D,T76)</f>
        <v>1</v>
      </c>
      <c r="X76" s="333" t="s">
        <v>2080</v>
      </c>
      <c r="Y76" s="334">
        <v>2</v>
      </c>
      <c r="AB76" s="169">
        <f>ROUND('Awesome People List-Master'!A77,0)</f>
        <v>43923</v>
      </c>
    </row>
    <row r="77" spans="20:28" ht="13">
      <c r="T77" s="49" t="str">
        <f ca="1">IFERROR(__xludf.DUMMYFUNCTION("""COMPUTED_VALUE"""),"Apple Developer Academy")</f>
        <v>Apple Developer Academy</v>
      </c>
      <c r="U77" s="49">
        <f ca="1">COUNTIF('Awesome People List-Master'!D:D,T77)</f>
        <v>1</v>
      </c>
      <c r="X77" s="333" t="s">
        <v>982</v>
      </c>
      <c r="Y77" s="334">
        <v>2</v>
      </c>
      <c r="AB77" s="169">
        <f>ROUND('Awesome People List-Master'!A78,0)</f>
        <v>43923</v>
      </c>
    </row>
    <row r="78" spans="20:28" ht="13">
      <c r="T78" s="49" t="str">
        <f ca="1">IFERROR(__xludf.DUMMYFUNCTION("""COMPUTED_VALUE"""),"Johnson &amp; Johnson")</f>
        <v>Johnson &amp; Johnson</v>
      </c>
      <c r="U78" s="49">
        <f ca="1">COUNTIF('Awesome People List-Master'!D:D,T78)</f>
        <v>1</v>
      </c>
      <c r="X78" s="333" t="s">
        <v>2633</v>
      </c>
      <c r="Y78" s="334">
        <v>2</v>
      </c>
      <c r="AB78" s="169">
        <f>ROUND('Awesome People List-Master'!A79,0)</f>
        <v>43923</v>
      </c>
    </row>
    <row r="79" spans="20:28" ht="13">
      <c r="T79" s="49" t="str">
        <f ca="1">IFERROR(__xludf.DUMMYFUNCTION("""COMPUTED_VALUE"""),"Parcel Perform")</f>
        <v>Parcel Perform</v>
      </c>
      <c r="U79" s="49">
        <f ca="1">COUNTIF('Awesome People List-Master'!D:D,T79)</f>
        <v>2</v>
      </c>
      <c r="X79" s="333" t="s">
        <v>1211</v>
      </c>
      <c r="Y79" s="334">
        <v>2</v>
      </c>
      <c r="AB79" s="169">
        <f>ROUND('Awesome People List-Master'!A80,0)</f>
        <v>43923</v>
      </c>
    </row>
    <row r="80" spans="20:28" ht="13">
      <c r="T80" s="49" t="str">
        <f ca="1">IFERROR(__xludf.DUMMYFUNCTION("""COMPUTED_VALUE"""),"PT. Sophie Bakery Indonesia")</f>
        <v>PT. Sophie Bakery Indonesia</v>
      </c>
      <c r="U80" s="49">
        <f ca="1">COUNTIF('Awesome People List-Master'!D:D,T80)</f>
        <v>1</v>
      </c>
      <c r="X80" s="333" t="s">
        <v>391</v>
      </c>
      <c r="Y80" s="334">
        <v>2</v>
      </c>
      <c r="AB80" s="169"/>
    </row>
    <row r="81" spans="20:28" ht="13">
      <c r="T81" s="49" t="str">
        <f ca="1">IFERROR(__xludf.DUMMYFUNCTION("""COMPUTED_VALUE"""),"Cogs Singapore")</f>
        <v>Cogs Singapore</v>
      </c>
      <c r="U81" s="49">
        <f ca="1">COUNTIF('Awesome People List-Master'!D:D,T81)</f>
        <v>1</v>
      </c>
      <c r="X81" s="333" t="s">
        <v>665</v>
      </c>
      <c r="Y81" s="334">
        <v>2</v>
      </c>
      <c r="AB81" s="169" t="e">
        <f>ROUND(#REF!,0)</f>
        <v>#REF!</v>
      </c>
    </row>
    <row r="82" spans="20:28" ht="13">
      <c r="T82" s="49" t="str">
        <f ca="1">IFERROR(__xludf.DUMMYFUNCTION("""COMPUTED_VALUE"""),"Wassa")</f>
        <v>Wassa</v>
      </c>
      <c r="U82" s="49">
        <f ca="1">COUNTIF('Awesome People List-Master'!D:D,T82)</f>
        <v>1</v>
      </c>
      <c r="X82" s="333" t="s">
        <v>675</v>
      </c>
      <c r="Y82" s="334">
        <v>2</v>
      </c>
      <c r="AB82" s="169">
        <f>ROUND('Awesome People List-Master'!A81,0)</f>
        <v>43923</v>
      </c>
    </row>
    <row r="83" spans="20:28" ht="13">
      <c r="T83" s="49" t="str">
        <f ca="1">IFERROR(__xludf.DUMMYFUNCTION("""COMPUTED_VALUE"""),"land transport authority")</f>
        <v>land transport authority</v>
      </c>
      <c r="U83" s="49">
        <f ca="1">COUNTIF('Awesome People List-Master'!D:D,T83)</f>
        <v>1</v>
      </c>
      <c r="X83" s="333" t="s">
        <v>1046</v>
      </c>
      <c r="Y83" s="334">
        <v>2</v>
      </c>
      <c r="AB83" s="169">
        <f>ROUND('Awesome People List-Master'!A82,0)</f>
        <v>43923</v>
      </c>
    </row>
    <row r="84" spans="20:28" ht="13">
      <c r="T84" s="49" t="str">
        <f ca="1">IFERROR(__xludf.DUMMYFUNCTION("""COMPUTED_VALUE"""),"Lazada Group")</f>
        <v>Lazada Group</v>
      </c>
      <c r="U84" s="49">
        <f ca="1">COUNTIF('Awesome People List-Master'!D:D,T84)</f>
        <v>2</v>
      </c>
      <c r="X84" s="333" t="s">
        <v>340</v>
      </c>
      <c r="Y84" s="334">
        <v>2</v>
      </c>
      <c r="AB84" s="169">
        <f>ROUND('Awesome People List-Master'!A83,0)</f>
        <v>43923</v>
      </c>
    </row>
    <row r="85" spans="20:28" ht="13">
      <c r="T85" s="49" t="str">
        <f ca="1">IFERROR(__xludf.DUMMYFUNCTION("""COMPUTED_VALUE"""),"PT. Phillip Futures")</f>
        <v>PT. Phillip Futures</v>
      </c>
      <c r="U85" s="49">
        <f ca="1">COUNTIF('Awesome People List-Master'!D:D,T85)</f>
        <v>1</v>
      </c>
      <c r="X85" s="333" t="s">
        <v>122</v>
      </c>
      <c r="Y85" s="334">
        <v>2</v>
      </c>
      <c r="AB85" s="169">
        <f>ROUND('Awesome People List-Master'!A84,0)</f>
        <v>43923</v>
      </c>
    </row>
    <row r="86" spans="20:28" ht="13">
      <c r="T86" s="49" t="str">
        <f ca="1">IFERROR(__xludf.DUMMYFUNCTION("""COMPUTED_VALUE"""),"Universitas Gadjah Mada")</f>
        <v>Universitas Gadjah Mada</v>
      </c>
      <c r="U86" s="49">
        <f ca="1">COUNTIF('Awesome People List-Master'!D:D,T86)</f>
        <v>1</v>
      </c>
      <c r="X86" s="333" t="s">
        <v>41</v>
      </c>
      <c r="Y86" s="334">
        <v>2</v>
      </c>
      <c r="AB86" s="169">
        <f>ROUND('Awesome People List-Master'!A85,0)</f>
        <v>43923</v>
      </c>
    </row>
    <row r="87" spans="20:28" ht="13">
      <c r="T87" s="49" t="str">
        <f ca="1">IFERROR(__xludf.DUMMYFUNCTION("""COMPUTED_VALUE"""),"Become - Rocket Internet")</f>
        <v>Become - Rocket Internet</v>
      </c>
      <c r="U87" s="49">
        <f ca="1">COUNTIF('Awesome People List-Master'!D:D,T87)</f>
        <v>1</v>
      </c>
      <c r="X87" s="333" t="s">
        <v>657</v>
      </c>
      <c r="Y87" s="334">
        <v>2</v>
      </c>
      <c r="AB87" s="169">
        <f>ROUND('Awesome People List-Master'!A86,0)</f>
        <v>43923</v>
      </c>
    </row>
    <row r="88" spans="20:28" ht="13">
      <c r="T88" s="49" t="str">
        <f ca="1">IFERROR(__xludf.DUMMYFUNCTION("""COMPUTED_VALUE"""),"NodeFlair")</f>
        <v>NodeFlair</v>
      </c>
      <c r="U88" s="49">
        <f ca="1">COUNTIF('Awesome People List-Master'!D:D,T88)</f>
        <v>1</v>
      </c>
      <c r="X88" s="333" t="s">
        <v>1700</v>
      </c>
      <c r="Y88" s="334">
        <v>2</v>
      </c>
      <c r="AB88" s="169">
        <f>ROUND('Awesome People List-Master'!A87,0)</f>
        <v>43923</v>
      </c>
    </row>
    <row r="89" spans="20:28" ht="13">
      <c r="T89" s="49" t="str">
        <f ca="1">IFERROR(__xludf.DUMMYFUNCTION("""COMPUTED_VALUE"""),"The Smart Local Singapore")</f>
        <v>The Smart Local Singapore</v>
      </c>
      <c r="U89" s="49">
        <f ca="1">COUNTIF('Awesome People List-Master'!D:D,T89)</f>
        <v>1</v>
      </c>
      <c r="X89" s="333" t="s">
        <v>225</v>
      </c>
      <c r="Y89" s="334">
        <v>2</v>
      </c>
      <c r="AB89" s="169">
        <f>ROUND('Awesome People List-Master'!A88,0)</f>
        <v>43923</v>
      </c>
    </row>
    <row r="90" spans="20:28" ht="13">
      <c r="T90" s="49" t="str">
        <f ca="1">IFERROR(__xludf.DUMMYFUNCTION("""COMPUTED_VALUE"""),"Jetstar Asia")</f>
        <v>Jetstar Asia</v>
      </c>
      <c r="U90" s="49">
        <f ca="1">COUNTIF('Awesome People List-Master'!D:D,T90)</f>
        <v>1</v>
      </c>
      <c r="X90" s="333" t="s">
        <v>799</v>
      </c>
      <c r="Y90" s="334">
        <v>2</v>
      </c>
      <c r="AB90" s="169">
        <f>ROUND('Awesome People List-Master'!A89,0)</f>
        <v>43923</v>
      </c>
    </row>
    <row r="91" spans="20:28" ht="13">
      <c r="T91" s="49" t="str">
        <f ca="1">IFERROR(__xludf.DUMMYFUNCTION("""COMPUTED_VALUE"""),"Momentum Works (Halalnode)")</f>
        <v>Momentum Works (Halalnode)</v>
      </c>
      <c r="U91" s="49">
        <f ca="1">COUNTIF('Awesome People List-Master'!D:D,T91)</f>
        <v>1</v>
      </c>
      <c r="X91" s="333" t="s">
        <v>2496</v>
      </c>
      <c r="Y91" s="334">
        <v>2</v>
      </c>
      <c r="AB91" s="169">
        <f>ROUND('Awesome People List-Master'!A90,0)</f>
        <v>43923</v>
      </c>
    </row>
    <row r="92" spans="20:28" ht="13">
      <c r="T92" s="49" t="str">
        <f ca="1">IFERROR(__xludf.DUMMYFUNCTION("""COMPUTED_VALUE"""),"Ferron Par Pharmaceuticals")</f>
        <v>Ferron Par Pharmaceuticals</v>
      </c>
      <c r="U92" s="49">
        <f ca="1">COUNTIF('Awesome People List-Master'!D:D,T92)</f>
        <v>1</v>
      </c>
      <c r="X92" s="333" t="s">
        <v>876</v>
      </c>
      <c r="Y92" s="334">
        <v>2</v>
      </c>
      <c r="AB92" s="169">
        <f>ROUND('Awesome People List-Master'!A91,0)</f>
        <v>43923</v>
      </c>
    </row>
    <row r="93" spans="20:28" ht="13">
      <c r="T93" s="49" t="str">
        <f ca="1">IFERROR(__xludf.DUMMYFUNCTION("""COMPUTED_VALUE"""),"Akamai Technologies")</f>
        <v>Akamai Technologies</v>
      </c>
      <c r="U93" s="49">
        <f ca="1">COUNTIF('Awesome People List-Master'!D:D,T93)</f>
        <v>1</v>
      </c>
      <c r="X93" s="333" t="s">
        <v>2671</v>
      </c>
      <c r="Y93" s="334">
        <v>2</v>
      </c>
      <c r="AB93" s="169">
        <f>ROUND('Awesome People List-Master'!A92,0)</f>
        <v>43923</v>
      </c>
    </row>
    <row r="94" spans="20:28" ht="13">
      <c r="T94" s="49" t="str">
        <f ca="1">IFERROR(__xludf.DUMMYFUNCTION("""COMPUTED_VALUE"""),"KORU FAMILY OFFICE PTE LTD")</f>
        <v>KORU FAMILY OFFICE PTE LTD</v>
      </c>
      <c r="U94" s="49">
        <f ca="1">COUNTIF('Awesome People List-Master'!D:D,T94)</f>
        <v>1</v>
      </c>
      <c r="X94" s="333" t="s">
        <v>2825</v>
      </c>
      <c r="Y94" s="334">
        <v>2</v>
      </c>
      <c r="AB94" s="169">
        <f>ROUND('Awesome People List-Master'!A93,0)</f>
        <v>43923</v>
      </c>
    </row>
    <row r="95" spans="20:28" ht="13">
      <c r="T95" s="49" t="str">
        <f ca="1">IFERROR(__xludf.DUMMYFUNCTION("""COMPUTED_VALUE"""),"Traveloka")</f>
        <v>Traveloka</v>
      </c>
      <c r="U95" s="49">
        <f ca="1">COUNTIF('Awesome People List-Master'!D:D,T95)</f>
        <v>46</v>
      </c>
      <c r="X95" s="333" t="s">
        <v>1499</v>
      </c>
      <c r="Y95" s="334">
        <v>2</v>
      </c>
      <c r="AB95" s="169">
        <f>ROUND('Awesome People List-Master'!A94,0)</f>
        <v>43923</v>
      </c>
    </row>
    <row r="96" spans="20:28" ht="13">
      <c r="T96" s="49" t="str">
        <f ca="1">IFERROR(__xludf.DUMMYFUNCTION("""COMPUTED_VALUE"""),"Wecash ")</f>
        <v xml:space="preserve">Wecash </v>
      </c>
      <c r="U96" s="49">
        <f ca="1">COUNTIF('Awesome People List-Master'!D:D,T96)</f>
        <v>1</v>
      </c>
      <c r="X96" s="333" t="s">
        <v>283</v>
      </c>
      <c r="Y96" s="334">
        <v>2</v>
      </c>
      <c r="AB96" s="169">
        <f>ROUND('Awesome People List-Master'!A95,0)</f>
        <v>43923</v>
      </c>
    </row>
    <row r="97" spans="20:28" ht="13">
      <c r="T97" s="49" t="str">
        <f ca="1">IFERROR(__xludf.DUMMYFUNCTION("""COMPUTED_VALUE"""),"Oplifi")</f>
        <v>Oplifi</v>
      </c>
      <c r="U97" s="49">
        <f ca="1">COUNTIF('Awesome People List-Master'!D:D,T97)</f>
        <v>1</v>
      </c>
      <c r="X97" s="333" t="s">
        <v>1490</v>
      </c>
      <c r="Y97" s="334">
        <v>2</v>
      </c>
      <c r="AB97" s="169">
        <f>ROUND('Awesome People List-Master'!A96,0)</f>
        <v>43923</v>
      </c>
    </row>
    <row r="98" spans="20:28" ht="13">
      <c r="T98" s="49" t="str">
        <f ca="1">IFERROR(__xludf.DUMMYFUNCTION("""COMPUTED_VALUE"""),"Sanofi")</f>
        <v>Sanofi</v>
      </c>
      <c r="U98" s="49">
        <f ca="1">COUNTIF('Awesome People List-Master'!D:D,T98)</f>
        <v>1</v>
      </c>
      <c r="X98" s="333" t="s">
        <v>1248</v>
      </c>
      <c r="Y98" s="334">
        <v>2</v>
      </c>
      <c r="AB98" s="169">
        <f>ROUND('Awesome People List-Master'!A97,0)</f>
        <v>43923</v>
      </c>
    </row>
    <row r="99" spans="20:28" ht="13">
      <c r="T99" s="49" t="str">
        <f ca="1">IFERROR(__xludf.DUMMYFUNCTION("""COMPUTED_VALUE"""),"XXII GROUP")</f>
        <v>XXII GROUP</v>
      </c>
      <c r="U99" s="49">
        <f ca="1">COUNTIF('Awesome People List-Master'!D:D,T99)</f>
        <v>1</v>
      </c>
      <c r="X99" s="333" t="s">
        <v>3229</v>
      </c>
      <c r="Y99" s="334">
        <v>2</v>
      </c>
      <c r="AB99" s="169">
        <f>ROUND('Awesome People List-Master'!A98,0)</f>
        <v>43923</v>
      </c>
    </row>
    <row r="100" spans="20:28" ht="13">
      <c r="T100" s="49" t="str">
        <f ca="1">IFERROR(__xludf.DUMMYFUNCTION("""COMPUTED_VALUE"""),"Prodata Group")</f>
        <v>Prodata Group</v>
      </c>
      <c r="U100" s="49">
        <f ca="1">COUNTIF('Awesome People List-Master'!D:D,T100)</f>
        <v>1</v>
      </c>
      <c r="X100" s="333" t="s">
        <v>8201</v>
      </c>
      <c r="Y100" s="334">
        <v>1</v>
      </c>
      <c r="AB100" s="169">
        <f>ROUND('Awesome People List-Master'!A99,0)</f>
        <v>43923</v>
      </c>
    </row>
    <row r="101" spans="20:28" ht="13">
      <c r="T101" s="49" t="str">
        <f ca="1">IFERROR(__xludf.DUMMYFUNCTION("""COMPUTED_VALUE"""),"Verita Healthcare Group")</f>
        <v>Verita Healthcare Group</v>
      </c>
      <c r="U101" s="49">
        <f ca="1">COUNTIF('Awesome People List-Master'!D:D,T101)</f>
        <v>2</v>
      </c>
      <c r="X101" s="333" t="s">
        <v>8851</v>
      </c>
      <c r="Y101" s="334">
        <v>1</v>
      </c>
      <c r="AB101" s="169">
        <f>ROUND('Awesome People List-Master'!A100,0)</f>
        <v>43923</v>
      </c>
    </row>
    <row r="102" spans="20:28" ht="13">
      <c r="T102" s="49" t="str">
        <f ca="1">IFERROR(__xludf.DUMMYFUNCTION("""COMPUTED_VALUE"""),"FalconBio Pte. Ltd. ")</f>
        <v xml:space="preserve">FalconBio Pte. Ltd. </v>
      </c>
      <c r="U102" s="49">
        <f ca="1">COUNTIF('Awesome People List-Master'!D:D,T102)</f>
        <v>1</v>
      </c>
      <c r="X102" s="333" t="s">
        <v>7976</v>
      </c>
      <c r="Y102" s="334">
        <v>1</v>
      </c>
      <c r="AB102" s="169">
        <f>ROUND('Awesome People List-Master'!A101,0)</f>
        <v>43923</v>
      </c>
    </row>
    <row r="103" spans="20:28" ht="13">
      <c r="T103" s="56" t="str">
        <f ca="1">IFERROR(__xludf.DUMMYFUNCTION("""COMPUTED_VALUE"""),"Umroh.com")</f>
        <v>Umroh.com</v>
      </c>
      <c r="U103" s="49">
        <f ca="1">COUNTIF('Awesome People List-Master'!D:D,T103)</f>
        <v>5</v>
      </c>
      <c r="X103" s="333" t="s">
        <v>6848</v>
      </c>
      <c r="Y103" s="334">
        <v>1</v>
      </c>
      <c r="AB103" s="169">
        <f>ROUND('Awesome People List-Master'!A102,0)</f>
        <v>43923</v>
      </c>
    </row>
    <row r="104" spans="20:28" ht="13">
      <c r="T104" s="49" t="str">
        <f ca="1">IFERROR(__xludf.DUMMYFUNCTION("""COMPUTED_VALUE"""),"Sojern")</f>
        <v>Sojern</v>
      </c>
      <c r="U104" s="49">
        <f ca="1">COUNTIF('Awesome People List-Master'!D:D,T104)</f>
        <v>12</v>
      </c>
      <c r="X104" s="333" t="s">
        <v>7485</v>
      </c>
      <c r="Y104" s="334">
        <v>1</v>
      </c>
      <c r="AB104" s="169">
        <f>ROUND('Awesome People List-Master'!A103,0)</f>
        <v>43923</v>
      </c>
    </row>
    <row r="105" spans="20:28" ht="13">
      <c r="T105" s="49" t="str">
        <f ca="1">IFERROR(__xludf.DUMMYFUNCTION("""COMPUTED_VALUE"""),"dahmakan ")</f>
        <v xml:space="preserve">dahmakan </v>
      </c>
      <c r="U105" s="49">
        <f ca="1">COUNTIF('Awesome People List-Master'!D:D,T105)</f>
        <v>2</v>
      </c>
      <c r="X105" s="333" t="s">
        <v>6856</v>
      </c>
      <c r="Y105" s="334">
        <v>1</v>
      </c>
      <c r="AB105" s="169">
        <f>ROUND('Awesome People List-Master'!A104,0)</f>
        <v>43923</v>
      </c>
    </row>
    <row r="106" spans="20:28" ht="13">
      <c r="T106" s="49" t="str">
        <f ca="1">IFERROR(__xludf.DUMMYFUNCTION("""COMPUTED_VALUE"""),"Tvlk")</f>
        <v>Tvlk</v>
      </c>
      <c r="U106" s="49">
        <f ca="1">COUNTIF('Awesome People List-Master'!D:D,T106)</f>
        <v>1</v>
      </c>
      <c r="X106" s="333" t="s">
        <v>8338</v>
      </c>
      <c r="Y106" s="334">
        <v>1</v>
      </c>
      <c r="AB106" s="169">
        <f>ROUND('Awesome People List-Master'!A105,0)</f>
        <v>43923</v>
      </c>
    </row>
    <row r="107" spans="20:28" ht="13">
      <c r="T107" s="49" t="str">
        <f ca="1">IFERROR(__xludf.DUMMYFUNCTION("""COMPUTED_VALUE"""),"PT AMANAH UMROH HANDAL (umroh.com) ")</f>
        <v xml:space="preserve">PT AMANAH UMROH HANDAL (umroh.com) </v>
      </c>
      <c r="U107" s="49">
        <f ca="1">COUNTIF('Awesome People List-Master'!D:D,T107)</f>
        <v>1</v>
      </c>
      <c r="X107" s="333" t="s">
        <v>6862</v>
      </c>
      <c r="Y107" s="334">
        <v>1</v>
      </c>
      <c r="AB107" s="169">
        <f>ROUND('Awesome People List-Master'!A106,0)</f>
        <v>43923</v>
      </c>
    </row>
    <row r="108" spans="20:28" ht="13">
      <c r="T108" s="49" t="str">
        <f ca="1">IFERROR(__xludf.DUMMYFUNCTION("""COMPUTED_VALUE"""),"BeMyGuest Pte. Ltd")</f>
        <v>BeMyGuest Pte. Ltd</v>
      </c>
      <c r="U108" s="49">
        <f ca="1">COUNTIF('Awesome People List-Master'!D:D,T108)</f>
        <v>1</v>
      </c>
      <c r="X108" s="333" t="s">
        <v>8602</v>
      </c>
      <c r="Y108" s="334">
        <v>1</v>
      </c>
      <c r="AB108" s="169">
        <f>ROUND('Awesome People List-Master'!A107,0)</f>
        <v>43923</v>
      </c>
    </row>
    <row r="109" spans="20:28" ht="13">
      <c r="T109" s="49" t="str">
        <f ca="1">IFERROR(__xludf.DUMMYFUNCTION("""COMPUTED_VALUE"""),"IBK Bank Indonesia")</f>
        <v>IBK Bank Indonesia</v>
      </c>
      <c r="U109" s="49">
        <f ca="1">COUNTIF('Awesome People List-Master'!D:D,T109)</f>
        <v>1</v>
      </c>
      <c r="X109" s="333" t="s">
        <v>6867</v>
      </c>
      <c r="Y109" s="334">
        <v>1</v>
      </c>
      <c r="AB109" s="169">
        <f>ROUND('Awesome People List-Master'!A108,0)</f>
        <v>43923</v>
      </c>
    </row>
    <row r="110" spans="20:28" ht="13">
      <c r="T110" s="49" t="str">
        <f ca="1">IFERROR(__xludf.DUMMYFUNCTION("""COMPUTED_VALUE"""),"Gojek (Gopay)")</f>
        <v>Gojek (Gopay)</v>
      </c>
      <c r="U110" s="49">
        <f ca="1">COUNTIF('Awesome People List-Master'!D:D,T110)</f>
        <v>1</v>
      </c>
      <c r="X110" s="333" t="s">
        <v>9008</v>
      </c>
      <c r="Y110" s="334">
        <v>1</v>
      </c>
      <c r="AB110" s="169">
        <f>ROUND('Awesome People List-Master'!A109,0)</f>
        <v>43923</v>
      </c>
    </row>
    <row r="111" spans="20:28" ht="13">
      <c r="T111" s="49" t="str">
        <f ca="1">IFERROR(__xludf.DUMMYFUNCTION("""COMPUTED_VALUE"""),"PT Solusi Invest Propertindo")</f>
        <v>PT Solusi Invest Propertindo</v>
      </c>
      <c r="U111" s="49">
        <f ca="1">COUNTIF('Awesome People List-Master'!D:D,T111)</f>
        <v>1</v>
      </c>
      <c r="X111" s="333" t="s">
        <v>6728</v>
      </c>
      <c r="Y111" s="334">
        <v>1</v>
      </c>
      <c r="AB111" s="169">
        <f>ROUND('Awesome People List-Master'!A110,0)</f>
        <v>43924</v>
      </c>
    </row>
    <row r="112" spans="20:28" ht="13">
      <c r="T112" s="49" t="str">
        <f ca="1">IFERROR(__xludf.DUMMYFUNCTION("""COMPUTED_VALUE"""),"PT OS Selnajaya Indonesia")</f>
        <v>PT OS Selnajaya Indonesia</v>
      </c>
      <c r="U112" s="49">
        <f ca="1">COUNTIF('Awesome People List-Master'!D:D,T112)</f>
        <v>1</v>
      </c>
      <c r="X112" s="333" t="s">
        <v>6699</v>
      </c>
      <c r="Y112" s="334">
        <v>1</v>
      </c>
      <c r="AB112" s="169">
        <f>ROUND('Awesome People List-Master'!A111,0)</f>
        <v>43924</v>
      </c>
    </row>
    <row r="113" spans="20:28" ht="13">
      <c r="T113" s="49" t="str">
        <f ca="1">IFERROR(__xludf.DUMMYFUNCTION("""COMPUTED_VALUE"""),"YukStay")</f>
        <v>YukStay</v>
      </c>
      <c r="U113" s="49">
        <f ca="1">COUNTIF('Awesome People List-Master'!D:D,T113)</f>
        <v>1</v>
      </c>
      <c r="X113" s="333" t="s">
        <v>6879</v>
      </c>
      <c r="Y113" s="334">
        <v>1</v>
      </c>
      <c r="AB113" s="169">
        <f>ROUND('Awesome People List-Master'!A112,0)</f>
        <v>43924</v>
      </c>
    </row>
    <row r="114" spans="20:28" ht="13">
      <c r="T114" s="49" t="str">
        <f ca="1">IFERROR(__xludf.DUMMYFUNCTION("""COMPUTED_VALUE"""),"Bluenest Pte Ltd")</f>
        <v>Bluenest Pte Ltd</v>
      </c>
      <c r="U114" s="49">
        <f ca="1">COUNTIF('Awesome People List-Master'!D:D,T114)</f>
        <v>1</v>
      </c>
      <c r="X114" s="333" t="s">
        <v>8265</v>
      </c>
      <c r="Y114" s="334">
        <v>1</v>
      </c>
      <c r="AB114" s="169">
        <f>ROUND('Awesome People List-Master'!A113,0)</f>
        <v>43924</v>
      </c>
    </row>
    <row r="115" spans="20:28" ht="13">
      <c r="T115" s="49" t="str">
        <f ca="1">IFERROR(__xludf.DUMMYFUNCTION("""COMPUTED_VALUE"""),"Own The Room")</f>
        <v>Own The Room</v>
      </c>
      <c r="U115" s="49">
        <f ca="1">COUNTIF('Awesome People List-Master'!D:D,T115)</f>
        <v>1</v>
      </c>
      <c r="X115" s="333" t="s">
        <v>6891</v>
      </c>
      <c r="Y115" s="334">
        <v>1</v>
      </c>
      <c r="AB115" s="169">
        <f>ROUND('Awesome People List-Master'!A114,0)</f>
        <v>43924</v>
      </c>
    </row>
    <row r="116" spans="20:28" ht="13">
      <c r="T116" s="49" t="str">
        <f ca="1">IFERROR(__xludf.DUMMYFUNCTION("""COMPUTED_VALUE"""),"Kaddra")</f>
        <v>Kaddra</v>
      </c>
      <c r="U116" s="49">
        <f ca="1">COUNTIF('Awesome People List-Master'!D:D,T116)</f>
        <v>1</v>
      </c>
      <c r="X116" s="333" t="s">
        <v>7473</v>
      </c>
      <c r="Y116" s="334">
        <v>1</v>
      </c>
      <c r="AB116" s="169">
        <f>ROUND('Awesome People List-Master'!A115,0)</f>
        <v>43924</v>
      </c>
    </row>
    <row r="117" spans="20:28" ht="13">
      <c r="T117" s="49" t="str">
        <f ca="1">IFERROR(__xludf.DUMMYFUNCTION("""COMPUTED_VALUE"""),"PT Jalan Terus Saja (ReCharge)")</f>
        <v>PT Jalan Terus Saja (ReCharge)</v>
      </c>
      <c r="U117" s="49">
        <f ca="1">COUNTIF('Awesome People List-Master'!D:D,T117)</f>
        <v>1</v>
      </c>
      <c r="X117" s="333" t="s">
        <v>6903</v>
      </c>
      <c r="Y117" s="334">
        <v>1</v>
      </c>
      <c r="AB117" s="169">
        <f>ROUND('Awesome People List-Master'!A116,0)</f>
        <v>43924</v>
      </c>
    </row>
    <row r="118" spans="20:28" ht="13">
      <c r="T118" s="49" t="str">
        <f ca="1">IFERROR(__xludf.DUMMYFUNCTION("""COMPUTED_VALUE"""),"PT Hike Digital Asia")</f>
        <v>PT Hike Digital Asia</v>
      </c>
      <c r="U118" s="49">
        <f ca="1">COUNTIF('Awesome People List-Master'!D:D,T118)</f>
        <v>1</v>
      </c>
      <c r="X118" s="333" t="s">
        <v>8537</v>
      </c>
      <c r="Y118" s="334">
        <v>1</v>
      </c>
      <c r="AB118" s="169">
        <f>ROUND('Awesome People List-Master'!A117,0)</f>
        <v>43924</v>
      </c>
    </row>
    <row r="119" spans="20:28" ht="13">
      <c r="T119" s="49" t="str">
        <f ca="1">IFERROR(__xludf.DUMMYFUNCTION("""COMPUTED_VALUE"""),"OYO")</f>
        <v>OYO</v>
      </c>
      <c r="U119" s="49">
        <f ca="1">COUNTIF('Awesome People List-Master'!D:D,T119)</f>
        <v>8</v>
      </c>
      <c r="X119" s="333" t="s">
        <v>6911</v>
      </c>
      <c r="Y119" s="334">
        <v>1</v>
      </c>
      <c r="AB119" s="169">
        <f>ROUND('Awesome People List-Master'!A118,0)</f>
        <v>43924</v>
      </c>
    </row>
    <row r="120" spans="20:28" ht="13">
      <c r="T120" s="49" t="str">
        <f ca="1">IFERROR(__xludf.DUMMYFUNCTION("""COMPUTED_VALUE"""),"LightBlue Environmental Consulting")</f>
        <v>LightBlue Environmental Consulting</v>
      </c>
      <c r="U120" s="49">
        <f ca="1">COUNTIF('Awesome People List-Master'!D:D,T120)</f>
        <v>1</v>
      </c>
      <c r="X120" s="333" t="s">
        <v>8661</v>
      </c>
      <c r="Y120" s="334">
        <v>1</v>
      </c>
      <c r="AB120" s="169">
        <f>ROUND('Awesome People List-Master'!A119,0)</f>
        <v>43924</v>
      </c>
    </row>
    <row r="121" spans="20:28" ht="13">
      <c r="T121" s="49" t="str">
        <f ca="1">IFERROR(__xludf.DUMMYFUNCTION("""COMPUTED_VALUE"""),"labster")</f>
        <v>labster</v>
      </c>
      <c r="U121" s="49">
        <f ca="1">COUNTIF('Awesome People List-Master'!D:D,T121)</f>
        <v>1</v>
      </c>
      <c r="X121" s="333" t="s">
        <v>6931</v>
      </c>
      <c r="Y121" s="334">
        <v>1</v>
      </c>
      <c r="AB121" s="169">
        <f>ROUND('Awesome People List-Master'!A120,0)</f>
        <v>43924</v>
      </c>
    </row>
    <row r="122" spans="20:28" ht="13">
      <c r="T122" s="49" t="str">
        <f ca="1">IFERROR(__xludf.DUMMYFUNCTION("""COMPUTED_VALUE"""),"SATS ")</f>
        <v xml:space="preserve">SATS </v>
      </c>
      <c r="U122" s="49">
        <f ca="1">COUNTIF('Awesome People List-Master'!D:D,T122)</f>
        <v>1</v>
      </c>
      <c r="X122" s="333" t="s">
        <v>7566</v>
      </c>
      <c r="Y122" s="334">
        <v>1</v>
      </c>
      <c r="AB122" s="169">
        <f>ROUND('Awesome People List-Master'!A121,0)</f>
        <v>43924</v>
      </c>
    </row>
    <row r="123" spans="20:28" ht="13">
      <c r="T123" s="49" t="str">
        <f ca="1">IFERROR(__xludf.DUMMYFUNCTION("""COMPUTED_VALUE"""),"Fundsfy")</f>
        <v>Fundsfy</v>
      </c>
      <c r="U123" s="49">
        <f ca="1">COUNTIF('Awesome People List-Master'!D:D,T123)</f>
        <v>1</v>
      </c>
      <c r="X123" s="333" t="s">
        <v>6938</v>
      </c>
      <c r="Y123" s="334">
        <v>1</v>
      </c>
      <c r="AB123" s="169">
        <f>ROUND('Awesome People List-Master'!A122,0)</f>
        <v>43924</v>
      </c>
    </row>
    <row r="124" spans="20:28" ht="13">
      <c r="T124" s="49" t="str">
        <f ca="1">IFERROR(__xludf.DUMMYFUNCTION("""COMPUTED_VALUE"""),"Entrepreneur First")</f>
        <v>Entrepreneur First</v>
      </c>
      <c r="U124" s="49">
        <f ca="1">COUNTIF('Awesome People List-Master'!D:D,T124)</f>
        <v>2</v>
      </c>
      <c r="X124" s="333" t="s">
        <v>8568</v>
      </c>
      <c r="Y124" s="334">
        <v>1</v>
      </c>
      <c r="AB124" s="169">
        <f>ROUND('Awesome People List-Master'!A123,0)</f>
        <v>43924</v>
      </c>
    </row>
    <row r="125" spans="20:28" ht="13">
      <c r="T125" s="49" t="str">
        <f ca="1">IFERROR(__xludf.DUMMYFUNCTION("""COMPUTED_VALUE"""),"Dompet Kilat")</f>
        <v>Dompet Kilat</v>
      </c>
      <c r="U125" s="49">
        <f ca="1">COUNTIF('Awesome People List-Master'!D:D,T125)</f>
        <v>2</v>
      </c>
      <c r="X125" s="333" t="s">
        <v>6943</v>
      </c>
      <c r="Y125" s="334">
        <v>1</v>
      </c>
      <c r="AB125" s="169">
        <f>ROUND('Awesome People List-Master'!A124,0)</f>
        <v>43924</v>
      </c>
    </row>
    <row r="126" spans="20:28" ht="13">
      <c r="T126" s="49" t="str">
        <f ca="1">IFERROR(__xludf.DUMMYFUNCTION("""COMPUTED_VALUE"""),"PT Finfleet Teknologi Indonesia")</f>
        <v>PT Finfleet Teknologi Indonesia</v>
      </c>
      <c r="U126" s="49">
        <f ca="1">COUNTIF('Awesome People List-Master'!D:D,T126)</f>
        <v>1</v>
      </c>
      <c r="X126" s="333" t="s">
        <v>9391</v>
      </c>
      <c r="Y126" s="334">
        <v>1</v>
      </c>
      <c r="AB126" s="169">
        <f>ROUND('Awesome People List-Master'!A125,0)</f>
        <v>43924</v>
      </c>
    </row>
    <row r="127" spans="20:28" ht="13">
      <c r="T127" s="49" t="str">
        <f ca="1">IFERROR(__xludf.DUMMYFUNCTION("""COMPUTED_VALUE"""),"Possible WorldWide (Wunderman / WPP)")</f>
        <v>Possible WorldWide (Wunderman / WPP)</v>
      </c>
      <c r="U127" s="49">
        <f ca="1">COUNTIF('Awesome People List-Master'!D:D,T127)</f>
        <v>1</v>
      </c>
      <c r="X127" s="333" t="s">
        <v>6954</v>
      </c>
      <c r="Y127" s="334">
        <v>1</v>
      </c>
      <c r="AB127" s="169">
        <f>ROUND('Awesome People List-Master'!A126,0)</f>
        <v>43924</v>
      </c>
    </row>
    <row r="128" spans="20:28" ht="13">
      <c r="T128" s="49" t="str">
        <f ca="1">IFERROR(__xludf.DUMMYFUNCTION("""COMPUTED_VALUE"""),"PurelyB")</f>
        <v>PurelyB</v>
      </c>
      <c r="U128" s="49">
        <f ca="1">COUNTIF('Awesome People List-Master'!D:D,T128)</f>
        <v>1</v>
      </c>
      <c r="X128" s="333" t="s">
        <v>8158</v>
      </c>
      <c r="Y128" s="334">
        <v>1</v>
      </c>
      <c r="AB128" s="169">
        <f>ROUND('Awesome People List-Master'!A127,0)</f>
        <v>43924</v>
      </c>
    </row>
    <row r="129" spans="20:28" ht="13">
      <c r="T129" s="49" t="str">
        <f ca="1">IFERROR(__xludf.DUMMYFUNCTION("""COMPUTED_VALUE"""),"Traveloka (PT Trinusa Travelindo)")</f>
        <v>Traveloka (PT Trinusa Travelindo)</v>
      </c>
      <c r="U129" s="49">
        <f ca="1">COUNTIF('Awesome People List-Master'!D:D,T129)</f>
        <v>1</v>
      </c>
      <c r="X129" s="333" t="s">
        <v>6958</v>
      </c>
      <c r="Y129" s="334">
        <v>1</v>
      </c>
      <c r="AB129" s="169">
        <f>ROUND('Awesome People List-Master'!A128,0)</f>
        <v>43924</v>
      </c>
    </row>
    <row r="130" spans="20:28" ht="13">
      <c r="T130" s="49" t="str">
        <f ca="1">IFERROR(__xludf.DUMMYFUNCTION("""COMPUTED_VALUE"""),"Vrbo (HomeAway) ― Expedia Group")</f>
        <v>Vrbo (HomeAway) ― Expedia Group</v>
      </c>
      <c r="U130" s="49">
        <f ca="1">COUNTIF('Awesome People List-Master'!D:D,T130)</f>
        <v>1</v>
      </c>
      <c r="X130" s="333" t="s">
        <v>6757</v>
      </c>
      <c r="Y130" s="334">
        <v>1</v>
      </c>
      <c r="AB130" s="169">
        <f>ROUND('Awesome People List-Master'!A129,0)</f>
        <v>43924</v>
      </c>
    </row>
    <row r="131" spans="20:28" ht="13">
      <c r="T131" s="49" t="str">
        <f ca="1">IFERROR(__xludf.DUMMYFUNCTION("""COMPUTED_VALUE"""),"Style Theory")</f>
        <v>Style Theory</v>
      </c>
      <c r="U131" s="49">
        <f ca="1">COUNTIF('Awesome People List-Master'!D:D,T131)</f>
        <v>1</v>
      </c>
      <c r="X131" s="333" t="s">
        <v>6734</v>
      </c>
      <c r="Y131" s="334">
        <v>1</v>
      </c>
      <c r="AB131" s="169">
        <f>ROUND('Awesome People List-Master'!A130,0)</f>
        <v>43924</v>
      </c>
    </row>
    <row r="132" spans="20:28" ht="13">
      <c r="T132" s="49" t="str">
        <f ca="1">IFERROR(__xludf.DUMMYFUNCTION("""COMPUTED_VALUE"""),"Modana")</f>
        <v>Modana</v>
      </c>
      <c r="U132" s="49">
        <f ca="1">COUNTIF('Awesome People List-Master'!D:D,T132)</f>
        <v>5</v>
      </c>
      <c r="X132" s="333" t="s">
        <v>7983</v>
      </c>
      <c r="Y132" s="334">
        <v>1</v>
      </c>
      <c r="AB132" s="169">
        <f>ROUND('Awesome People List-Master'!A131,0)</f>
        <v>43924</v>
      </c>
    </row>
    <row r="133" spans="20:28" ht="13">
      <c r="T133" s="49" t="str">
        <f ca="1">IFERROR(__xludf.DUMMYFUNCTION("""COMPUTED_VALUE"""),"iflix")</f>
        <v>iflix</v>
      </c>
      <c r="U133" s="49">
        <f ca="1">COUNTIF('Awesome People List-Master'!D:D,T133)</f>
        <v>5</v>
      </c>
      <c r="X133" s="333" t="s">
        <v>6970</v>
      </c>
      <c r="Y133" s="334">
        <v>1</v>
      </c>
      <c r="AB133" s="169">
        <f>ROUND('Awesome People List-Master'!A132,0)</f>
        <v>43924</v>
      </c>
    </row>
    <row r="134" spans="20:28" ht="13">
      <c r="T134" s="49" t="str">
        <f ca="1">IFERROR(__xludf.DUMMYFUNCTION("""COMPUTED_VALUE"""),"PT. MITRA GLOBAL HOLIDAY GROUP")</f>
        <v>PT. MITRA GLOBAL HOLIDAY GROUP</v>
      </c>
      <c r="U134" s="49">
        <f ca="1">COUNTIF('Awesome People List-Master'!D:D,T134)</f>
        <v>1</v>
      </c>
      <c r="X134" s="333" t="s">
        <v>8366</v>
      </c>
      <c r="Y134" s="334">
        <v>1</v>
      </c>
      <c r="AB134" s="169">
        <f>ROUND('Awesome People List-Master'!A133,0)</f>
        <v>43924</v>
      </c>
    </row>
    <row r="135" spans="20:28" ht="13">
      <c r="T135" s="49" t="str">
        <f ca="1">IFERROR(__xludf.DUMMYFUNCTION("""COMPUTED_VALUE"""),"Lime Technologies Pvt Ltd")</f>
        <v>Lime Technologies Pvt Ltd</v>
      </c>
      <c r="U135" s="49">
        <f ca="1">COUNTIF('Awesome People List-Master'!D:D,T135)</f>
        <v>1</v>
      </c>
      <c r="X135" s="333" t="s">
        <v>6978</v>
      </c>
      <c r="Y135" s="334">
        <v>1</v>
      </c>
      <c r="AB135" s="169">
        <f>ROUND('Awesome People List-Master'!A134,0)</f>
        <v>43924</v>
      </c>
    </row>
    <row r="136" spans="20:28" ht="13">
      <c r="T136" s="49" t="str">
        <f ca="1">IFERROR(__xludf.DUMMYFUNCTION("""COMPUTED_VALUE"""),"Club Alacarte (PT. Media Digital Alacarte)")</f>
        <v>Club Alacarte (PT. Media Digital Alacarte)</v>
      </c>
      <c r="U136" s="49">
        <f ca="1">COUNTIF('Awesome People List-Master'!D:D,T136)</f>
        <v>1</v>
      </c>
      <c r="X136" s="333" t="s">
        <v>8424</v>
      </c>
      <c r="Y136" s="334">
        <v>1</v>
      </c>
      <c r="AB136" s="169">
        <f>ROUND('Awesome People List-Master'!A135,0)</f>
        <v>43924</v>
      </c>
    </row>
    <row r="137" spans="20:28" ht="13">
      <c r="T137" s="49" t="str">
        <f ca="1">IFERROR(__xludf.DUMMYFUNCTION("""COMPUTED_VALUE"""),"Zeemart Pte Ltd")</f>
        <v>Zeemart Pte Ltd</v>
      </c>
      <c r="U137" s="49">
        <f ca="1">COUNTIF('Awesome People List-Master'!D:D,T137)</f>
        <v>1</v>
      </c>
      <c r="X137" s="333" t="s">
        <v>6988</v>
      </c>
      <c r="Y137" s="334">
        <v>1</v>
      </c>
      <c r="AB137" s="169">
        <f>ROUND('Awesome People List-Master'!A136,0)</f>
        <v>43924</v>
      </c>
    </row>
    <row r="138" spans="20:28" ht="13">
      <c r="T138" s="49" t="str">
        <f ca="1">IFERROR(__xludf.DUMMYFUNCTION("""COMPUTED_VALUE"""),"Stragiti ")</f>
        <v xml:space="preserve">Stragiti </v>
      </c>
      <c r="U138" s="49">
        <f ca="1">COUNTIF('Awesome People List-Master'!D:D,T138)</f>
        <v>1</v>
      </c>
      <c r="X138" s="333" t="s">
        <v>8500</v>
      </c>
      <c r="Y138" s="334">
        <v>1</v>
      </c>
      <c r="AB138" s="169">
        <f>ROUND('Awesome People List-Master'!A137,0)</f>
        <v>43924</v>
      </c>
    </row>
    <row r="139" spans="20:28" ht="13">
      <c r="T139" s="49" t="str">
        <f ca="1">IFERROR(__xludf.DUMMYFUNCTION("""COMPUTED_VALUE"""),"Iflix")</f>
        <v>Iflix</v>
      </c>
      <c r="U139" s="49">
        <f ca="1">COUNTIF('Awesome People List-Master'!D:D,T139)</f>
        <v>5</v>
      </c>
      <c r="X139" s="333" t="s">
        <v>6997</v>
      </c>
      <c r="Y139" s="334">
        <v>1</v>
      </c>
      <c r="AB139" s="169">
        <f>ROUND('Awesome People List-Master'!A138,0)</f>
        <v>43924</v>
      </c>
    </row>
    <row r="140" spans="20:28" ht="13">
      <c r="T140" s="49" t="str">
        <f ca="1">IFERROR(__xludf.DUMMYFUNCTION("""COMPUTED_VALUE"""),"Smove Car Sharing")</f>
        <v>Smove Car Sharing</v>
      </c>
      <c r="U140" s="49">
        <f ca="1">COUNTIF('Awesome People List-Master'!D:D,T140)</f>
        <v>3</v>
      </c>
      <c r="X140" s="333" t="s">
        <v>8565</v>
      </c>
      <c r="Y140" s="334">
        <v>1</v>
      </c>
      <c r="AB140" s="169">
        <f>ROUND('Awesome People List-Master'!A139,0)</f>
        <v>43924</v>
      </c>
    </row>
    <row r="141" spans="20:28" ht="13">
      <c r="T141" s="49" t="str">
        <f ca="1">IFERROR(__xludf.DUMMYFUNCTION("""COMPUTED_VALUE"""),"Bango")</f>
        <v>Bango</v>
      </c>
      <c r="U141" s="49">
        <f ca="1">COUNTIF('Awesome People List-Master'!D:D,T141)</f>
        <v>1</v>
      </c>
      <c r="X141" s="333" t="s">
        <v>7009</v>
      </c>
      <c r="Y141" s="334">
        <v>1</v>
      </c>
      <c r="AB141" s="169">
        <f>ROUND('Awesome People List-Master'!A140,0)</f>
        <v>43924</v>
      </c>
    </row>
    <row r="142" spans="20:28" ht="13">
      <c r="T142" s="49" t="str">
        <f ca="1">IFERROR(__xludf.DUMMYFUNCTION("""COMPUTED_VALUE"""),"PT. Tunas Ridean Tbk")</f>
        <v>PT. Tunas Ridean Tbk</v>
      </c>
      <c r="U142" s="49">
        <f ca="1">COUNTIF('Awesome People List-Master'!D:D,T142)</f>
        <v>1</v>
      </c>
      <c r="X142" s="333" t="s">
        <v>8631</v>
      </c>
      <c r="Y142" s="334">
        <v>1</v>
      </c>
      <c r="AB142" s="169">
        <f>ROUND('Awesome People List-Master'!A141,0)</f>
        <v>43924</v>
      </c>
    </row>
    <row r="143" spans="20:28" ht="13">
      <c r="T143" s="49" t="str">
        <f ca="1">IFERROR(__xludf.DUMMYFUNCTION("""COMPUTED_VALUE"""),"Enrupt")</f>
        <v>Enrupt</v>
      </c>
      <c r="U143" s="49">
        <f ca="1">COUNTIF('Awesome People List-Master'!D:D,T143)</f>
        <v>1</v>
      </c>
      <c r="X143" s="333" t="s">
        <v>7028</v>
      </c>
      <c r="Y143" s="334">
        <v>1</v>
      </c>
      <c r="AB143" s="169">
        <f>ROUND('Awesome People List-Master'!A142,0)</f>
        <v>43924</v>
      </c>
    </row>
    <row r="144" spans="20:28" ht="13">
      <c r="T144" s="56" t="str">
        <f ca="1">IFERROR(__xludf.DUMMYFUNCTION("""COMPUTED_VALUE"""),"Booking.com")</f>
        <v>Booking.com</v>
      </c>
      <c r="U144" s="49">
        <f ca="1">COUNTIF('Awesome People List-Master'!D:D,T144)</f>
        <v>1</v>
      </c>
      <c r="X144" s="333" t="s">
        <v>7585</v>
      </c>
      <c r="Y144" s="334">
        <v>1</v>
      </c>
      <c r="AB144" s="169">
        <f>ROUND('Awesome People List-Master'!A143,0)</f>
        <v>43924</v>
      </c>
    </row>
    <row r="145" spans="20:28" ht="13">
      <c r="T145" s="49" t="str">
        <f ca="1">IFERROR(__xludf.DUMMYFUNCTION("""COMPUTED_VALUE"""),"Tokopedia")</f>
        <v>Tokopedia</v>
      </c>
      <c r="U145" s="49">
        <f ca="1">COUNTIF('Awesome People List-Master'!D:D,T145)</f>
        <v>2</v>
      </c>
      <c r="X145" s="333" t="s">
        <v>7039</v>
      </c>
      <c r="Y145" s="334">
        <v>1</v>
      </c>
      <c r="AB145" s="169">
        <f>ROUND('Awesome People List-Master'!A144,0)</f>
        <v>43924</v>
      </c>
    </row>
    <row r="146" spans="20:28" ht="13">
      <c r="T146" s="49" t="str">
        <f ca="1">IFERROR(__xludf.DUMMYFUNCTION("""COMPUTED_VALUE"""),"Xplor ")</f>
        <v xml:space="preserve">Xplor </v>
      </c>
      <c r="U146" s="49">
        <f ca="1">COUNTIF('Awesome People List-Master'!D:D,T146)</f>
        <v>1</v>
      </c>
      <c r="X146" s="333" t="s">
        <v>8882</v>
      </c>
      <c r="Y146" s="334">
        <v>1</v>
      </c>
      <c r="AB146" s="169">
        <f>ROUND('Awesome People List-Master'!A145,0)</f>
        <v>43924</v>
      </c>
    </row>
    <row r="147" spans="20:28" ht="13">
      <c r="T147" s="49" t="str">
        <f ca="1">IFERROR(__xludf.DUMMYFUNCTION("""COMPUTED_VALUE"""),"Aventri Event Software Pteb Ltd")</f>
        <v>Aventri Event Software Pteb Ltd</v>
      </c>
      <c r="U147" s="49">
        <f ca="1">COUNTIF('Awesome People List-Master'!D:D,T147)</f>
        <v>1</v>
      </c>
      <c r="X147" s="333" t="s">
        <v>7076</v>
      </c>
      <c r="Y147" s="334">
        <v>1</v>
      </c>
      <c r="AB147" s="169">
        <f>ROUND('Awesome People List-Master'!A146,0)</f>
        <v>43924</v>
      </c>
    </row>
    <row r="148" spans="20:28" ht="13">
      <c r="T148" s="49" t="str">
        <f ca="1">IFERROR(__xludf.DUMMYFUNCTION("""COMPUTED_VALUE"""),"Beiersdorf Indonesia")</f>
        <v>Beiersdorf Indonesia</v>
      </c>
      <c r="U148" s="49">
        <f ca="1">COUNTIF('Awesome People List-Master'!D:D,T148)</f>
        <v>1</v>
      </c>
      <c r="X148" s="333" t="s">
        <v>8984</v>
      </c>
      <c r="Y148" s="334">
        <v>1</v>
      </c>
      <c r="AB148" s="169" t="e">
        <f>ROUND(#REF!,0)</f>
        <v>#REF!</v>
      </c>
    </row>
    <row r="149" spans="20:28" ht="13">
      <c r="T149" s="49" t="str">
        <f ca="1">IFERROR(__xludf.DUMMYFUNCTION("""COMPUTED_VALUE"""),"Classpass")</f>
        <v>Classpass</v>
      </c>
      <c r="U149" s="49">
        <f ca="1">COUNTIF('Awesome People List-Master'!D:D,T149)</f>
        <v>3</v>
      </c>
      <c r="X149" s="333" t="s">
        <v>7091</v>
      </c>
      <c r="Y149" s="334">
        <v>1</v>
      </c>
      <c r="AB149" s="169">
        <f>ROUND('Awesome People List-Master'!A147,0)</f>
        <v>43924</v>
      </c>
    </row>
    <row r="150" spans="20:28" ht="13">
      <c r="T150" s="49" t="str">
        <f ca="1">IFERROR(__xludf.DUMMYFUNCTION("""COMPUTED_VALUE"""),"Adira Insurance")</f>
        <v>Adira Insurance</v>
      </c>
      <c r="U150" s="49">
        <f ca="1">COUNTIF('Awesome People List-Master'!D:D,T150)</f>
        <v>1</v>
      </c>
      <c r="X150" s="333" t="s">
        <v>9039</v>
      </c>
      <c r="Y150" s="334">
        <v>1</v>
      </c>
      <c r="AB150" s="169">
        <f>ROUND('Awesome People List-Master'!A148,0)</f>
        <v>43925</v>
      </c>
    </row>
    <row r="151" spans="20:28" ht="13">
      <c r="T151" s="49" t="str">
        <f ca="1">IFERROR(__xludf.DUMMYFUNCTION("""COMPUTED_VALUE"""),"PT Partner Impian Millenial (Schoters)")</f>
        <v>PT Partner Impian Millenial (Schoters)</v>
      </c>
      <c r="U151" s="49">
        <f ca="1">COUNTIF('Awesome People List-Master'!D:D,T151)</f>
        <v>1</v>
      </c>
      <c r="X151" s="333" t="s">
        <v>7104</v>
      </c>
      <c r="Y151" s="334">
        <v>1</v>
      </c>
      <c r="AB151" s="169">
        <f>ROUND('Awesome People List-Master'!A149,0)</f>
        <v>43925</v>
      </c>
    </row>
    <row r="152" spans="20:28" ht="13">
      <c r="T152" s="49" t="str">
        <f ca="1">IFERROR(__xludf.DUMMYFUNCTION("""COMPUTED_VALUE"""),"Schoters")</f>
        <v>Schoters</v>
      </c>
      <c r="U152" s="49">
        <f ca="1">COUNTIF('Awesome People List-Master'!D:D,T152)</f>
        <v>3</v>
      </c>
      <c r="X152" s="333" t="s">
        <v>9098</v>
      </c>
      <c r="Y152" s="334">
        <v>1</v>
      </c>
      <c r="AB152" s="169">
        <f>ROUND('Awesome People List-Master'!A150,0)</f>
        <v>43925</v>
      </c>
    </row>
    <row r="153" spans="20:28" ht="13">
      <c r="T153" s="49" t="str">
        <f ca="1">IFERROR(__xludf.DUMMYFUNCTION("""COMPUTED_VALUE"""),"Boogle Group")</f>
        <v>Boogle Group</v>
      </c>
      <c r="U153" s="49">
        <f ca="1">COUNTIF('Awesome People List-Master'!D:D,T153)</f>
        <v>1</v>
      </c>
      <c r="X153" s="333" t="s">
        <v>7120</v>
      </c>
      <c r="Y153" s="334">
        <v>1</v>
      </c>
      <c r="AB153" s="169">
        <f>ROUND('Awesome People List-Master'!A151,0)</f>
        <v>43925</v>
      </c>
    </row>
    <row r="154" spans="20:28" ht="13">
      <c r="T154" s="49" t="str">
        <f ca="1">IFERROR(__xludf.DUMMYFUNCTION("""COMPUTED_VALUE"""),"Swipe WiFi")</f>
        <v>Swipe WiFi</v>
      </c>
      <c r="U154" s="49">
        <f ca="1">COUNTIF('Awesome People List-Master'!D:D,T154)</f>
        <v>1</v>
      </c>
      <c r="X154" s="333" t="s">
        <v>9143</v>
      </c>
      <c r="Y154" s="334">
        <v>1</v>
      </c>
      <c r="AB154" s="169">
        <f>ROUND('Awesome People List-Master'!A152,0)</f>
        <v>43925</v>
      </c>
    </row>
    <row r="155" spans="20:28" ht="13">
      <c r="T155" s="49" t="str">
        <f ca="1">IFERROR(__xludf.DUMMYFUNCTION("""COMPUTED_VALUE"""),"Zurich Insurance Group")</f>
        <v>Zurich Insurance Group</v>
      </c>
      <c r="U155" s="49">
        <f ca="1">COUNTIF('Awesome People List-Master'!D:D,T155)</f>
        <v>1</v>
      </c>
      <c r="X155" s="333" t="s">
        <v>7128</v>
      </c>
      <c r="Y155" s="334">
        <v>1</v>
      </c>
      <c r="AB155" s="169">
        <f>ROUND('Awesome People List-Master'!A153,0)</f>
        <v>43925</v>
      </c>
    </row>
    <row r="156" spans="20:28" ht="13">
      <c r="T156" s="49" t="str">
        <f ca="1">IFERROR(__xludf.DUMMYFUNCTION("""COMPUTED_VALUE"""),"Prioriti PTE LTD/PT Prioritas Persada Indonesia")</f>
        <v>Prioriti PTE LTD/PT Prioritas Persada Indonesia</v>
      </c>
      <c r="U156" s="49">
        <f ca="1">COUNTIF('Awesome People List-Master'!D:D,T156)</f>
        <v>1</v>
      </c>
      <c r="X156" s="333" t="s">
        <v>9405</v>
      </c>
      <c r="Y156" s="334">
        <v>1</v>
      </c>
      <c r="AB156" s="169">
        <f>ROUND('Awesome People List-Master'!A154,0)</f>
        <v>43925</v>
      </c>
    </row>
    <row r="157" spans="20:28" ht="13">
      <c r="T157" s="49" t="str">
        <f ca="1">IFERROR(__xludf.DUMMYFUNCTION("""COMPUTED_VALUE"""),"RedDoorz Indonesia")</f>
        <v>RedDoorz Indonesia</v>
      </c>
      <c r="U157" s="49">
        <f ca="1">COUNTIF('Awesome People List-Master'!D:D,T157)</f>
        <v>1</v>
      </c>
      <c r="X157" s="333" t="s">
        <v>7135</v>
      </c>
      <c r="Y157" s="334">
        <v>1</v>
      </c>
      <c r="AB157" s="169">
        <f>ROUND('Awesome People List-Master'!A155,0)</f>
        <v>43925</v>
      </c>
    </row>
    <row r="158" spans="20:28" ht="13">
      <c r="T158" s="49" t="str">
        <f ca="1">IFERROR(__xludf.DUMMYFUNCTION("""COMPUTED_VALUE"""),"EventNook")</f>
        <v>EventNook</v>
      </c>
      <c r="U158" s="49">
        <f ca="1">COUNTIF('Awesome People List-Master'!D:D,T158)</f>
        <v>1</v>
      </c>
      <c r="X158" s="333" t="s">
        <v>8143</v>
      </c>
      <c r="Y158" s="334">
        <v>1</v>
      </c>
      <c r="AB158" s="169">
        <f>ROUND('Awesome People List-Master'!A156,0)</f>
        <v>43925</v>
      </c>
    </row>
    <row r="159" spans="20:28" ht="13">
      <c r="T159" s="49" t="str">
        <f ca="1">IFERROR(__xludf.DUMMYFUNCTION("""COMPUTED_VALUE"""),"Kumpul ")</f>
        <v xml:space="preserve">Kumpul </v>
      </c>
      <c r="U159" s="49">
        <f ca="1">COUNTIF('Awesome People List-Master'!D:D,T159)</f>
        <v>1</v>
      </c>
      <c r="X159" s="333" t="s">
        <v>6744</v>
      </c>
      <c r="Y159" s="334">
        <v>1</v>
      </c>
      <c r="AB159" s="169">
        <f>ROUND('Awesome People List-Master'!A157,0)</f>
        <v>43925</v>
      </c>
    </row>
    <row r="160" spans="20:28" ht="13">
      <c r="T160" s="49" t="str">
        <f ca="1">IFERROR(__xludf.DUMMYFUNCTION("""COMPUTED_VALUE"""),"EMJAC")</f>
        <v>EMJAC</v>
      </c>
      <c r="U160" s="49">
        <f ca="1">COUNTIF('Awesome People List-Master'!D:D,T160)</f>
        <v>1</v>
      </c>
      <c r="X160" s="333" t="s">
        <v>8184</v>
      </c>
      <c r="Y160" s="334">
        <v>1</v>
      </c>
      <c r="AB160" s="169">
        <f>ROUND('Awesome People List-Master'!A158,0)</f>
        <v>43925</v>
      </c>
    </row>
    <row r="161" spans="20:28" ht="13">
      <c r="T161" s="49" t="str">
        <f ca="1">IFERROR(__xludf.DUMMYFUNCTION("""COMPUTED_VALUE"""),"ClassPass")</f>
        <v>ClassPass</v>
      </c>
      <c r="U161" s="49">
        <f ca="1">COUNTIF('Awesome People List-Master'!D:D,T161)</f>
        <v>3</v>
      </c>
      <c r="X161" s="333" t="s">
        <v>7154</v>
      </c>
      <c r="Y161" s="334">
        <v>1</v>
      </c>
      <c r="AB161" s="169">
        <f>ROUND('Awesome People List-Master'!A159,0)</f>
        <v>43925</v>
      </c>
    </row>
    <row r="162" spans="20:28" ht="13">
      <c r="T162" s="49" t="str">
        <f ca="1">IFERROR(__xludf.DUMMYFUNCTION("""COMPUTED_VALUE"""),"Samsung electronic company")</f>
        <v>Samsung electronic company</v>
      </c>
      <c r="U162" s="49">
        <f ca="1">COUNTIF('Awesome People List-Master'!D:D,T162)</f>
        <v>1</v>
      </c>
      <c r="X162" s="333" t="s">
        <v>8213</v>
      </c>
      <c r="Y162" s="334">
        <v>1</v>
      </c>
      <c r="AB162" s="169">
        <f>ROUND('Awesome People List-Master'!A160,0)</f>
        <v>43925</v>
      </c>
    </row>
    <row r="163" spans="20:28" ht="13">
      <c r="T163" s="49" t="str">
        <f ca="1">IFERROR(__xludf.DUMMYFUNCTION("""COMPUTED_VALUE"""),"Skyscanner")</f>
        <v>Skyscanner</v>
      </c>
      <c r="U163" s="49">
        <f ca="1">COUNTIF('Awesome People List-Master'!D:D,T163)</f>
        <v>1</v>
      </c>
      <c r="X163" s="333" t="s">
        <v>7160</v>
      </c>
      <c r="Y163" s="334">
        <v>1</v>
      </c>
      <c r="AB163" s="169">
        <f>ROUND('Awesome People List-Master'!A161,0)</f>
        <v>43925</v>
      </c>
    </row>
    <row r="164" spans="20:28" ht="13">
      <c r="T164" s="49" t="str">
        <f ca="1">IFERROR(__xludf.DUMMYFUNCTION("""COMPUTED_VALUE"""),"Eatsy Technologies")</f>
        <v>Eatsy Technologies</v>
      </c>
      <c r="U164" s="49">
        <f ca="1">COUNTIF('Awesome People List-Master'!D:D,T164)</f>
        <v>1</v>
      </c>
      <c r="X164" s="333" t="s">
        <v>6817</v>
      </c>
      <c r="Y164" s="334">
        <v>1</v>
      </c>
      <c r="AB164" s="169">
        <f>ROUND('Awesome People List-Master'!A162,0)</f>
        <v>43925</v>
      </c>
    </row>
    <row r="165" spans="20:28" ht="13">
      <c r="T165" s="49" t="str">
        <f ca="1">IFERROR(__xludf.DUMMYFUNCTION("""COMPUTED_VALUE"""),"Gorry Holdings")</f>
        <v>Gorry Holdings</v>
      </c>
      <c r="U165" s="49">
        <f ca="1">COUNTIF('Awesome People List-Master'!D:D,T165)</f>
        <v>1</v>
      </c>
      <c r="X165" s="333" t="s">
        <v>7171</v>
      </c>
      <c r="Y165" s="334">
        <v>1</v>
      </c>
      <c r="AB165" s="169">
        <f>ROUND('Awesome People List-Master'!A163,0)</f>
        <v>43925</v>
      </c>
    </row>
    <row r="166" spans="20:28" ht="13">
      <c r="T166" s="49" t="str">
        <f ca="1">IFERROR(__xludf.DUMMYFUNCTION("""COMPUTED_VALUE"""),"Wowoo Exchange Singapore")</f>
        <v>Wowoo Exchange Singapore</v>
      </c>
      <c r="U166" s="49">
        <f ca="1">COUNTIF('Awesome People List-Master'!D:D,T166)</f>
        <v>1</v>
      </c>
      <c r="X166" s="333" t="s">
        <v>8281</v>
      </c>
      <c r="Y166" s="334">
        <v>1</v>
      </c>
      <c r="AB166" s="169">
        <f>ROUND('Awesome People List-Master'!A164,0)</f>
        <v>43925</v>
      </c>
    </row>
    <row r="167" spans="20:28" ht="13">
      <c r="T167" s="49" t="str">
        <f ca="1">IFERROR(__xludf.DUMMYFUNCTION("""COMPUTED_VALUE"""),"Dokter Sehat")</f>
        <v>Dokter Sehat</v>
      </c>
      <c r="U167" s="49">
        <f ca="1">COUNTIF('Awesome People List-Master'!D:D,T167)</f>
        <v>4</v>
      </c>
      <c r="X167" s="333" t="s">
        <v>7191</v>
      </c>
      <c r="Y167" s="334">
        <v>1</v>
      </c>
      <c r="AB167" s="169">
        <f>ROUND('Awesome People List-Master'!A165,0)</f>
        <v>43925</v>
      </c>
    </row>
    <row r="168" spans="20:28" ht="13">
      <c r="T168" s="49" t="str">
        <f ca="1">IFERROR(__xludf.DUMMYFUNCTION("""COMPUTED_VALUE"""),"Grab Financial Group (Insurance)")</f>
        <v>Grab Financial Group (Insurance)</v>
      </c>
      <c r="U168" s="49">
        <f ca="1">COUNTIF('Awesome People List-Master'!D:D,T168)</f>
        <v>1</v>
      </c>
      <c r="X168" s="333" t="s">
        <v>8323</v>
      </c>
      <c r="Y168" s="334">
        <v>1</v>
      </c>
      <c r="AB168" s="169">
        <f>ROUND('Awesome People List-Master'!A166,0)</f>
        <v>43925</v>
      </c>
    </row>
    <row r="169" spans="20:28" ht="13">
      <c r="T169" s="49" t="str">
        <f ca="1">IFERROR(__xludf.DUMMYFUNCTION("""COMPUTED_VALUE"""),"Digital Business Lab")</f>
        <v>Digital Business Lab</v>
      </c>
      <c r="U169" s="49">
        <f ca="1">COUNTIF('Awesome People List-Master'!D:D,T169)</f>
        <v>1</v>
      </c>
      <c r="X169" s="333" t="s">
        <v>7196</v>
      </c>
      <c r="Y169" s="334">
        <v>1</v>
      </c>
      <c r="AB169" s="169">
        <f>ROUND('Awesome People List-Master'!A167,0)</f>
        <v>43925</v>
      </c>
    </row>
    <row r="170" spans="20:28" ht="13">
      <c r="T170" s="49" t="str">
        <f ca="1">IFERROR(__xludf.DUMMYFUNCTION("""COMPUTED_VALUE"""),"iVideosmart")</f>
        <v>iVideosmart</v>
      </c>
      <c r="U170" s="49">
        <f ca="1">COUNTIF('Awesome People List-Master'!D:D,T170)</f>
        <v>1</v>
      </c>
      <c r="X170" s="333" t="s">
        <v>8353</v>
      </c>
      <c r="Y170" s="334">
        <v>1</v>
      </c>
      <c r="AB170" s="169">
        <f>ROUND('Awesome People List-Master'!A168,0)</f>
        <v>43925</v>
      </c>
    </row>
    <row r="171" spans="20:28" ht="13">
      <c r="T171" s="49" t="str">
        <f ca="1">IFERROR(__xludf.DUMMYFUNCTION("""COMPUTED_VALUE"""),"Gredu")</f>
        <v>Gredu</v>
      </c>
      <c r="U171" s="49">
        <f ca="1">COUNTIF('Awesome People List-Master'!D:D,T171)</f>
        <v>4</v>
      </c>
      <c r="X171" s="333" t="s">
        <v>7205</v>
      </c>
      <c r="Y171" s="334">
        <v>1</v>
      </c>
      <c r="AB171" s="169">
        <f>ROUND('Awesome People List-Master'!A169,0)</f>
        <v>43925</v>
      </c>
    </row>
    <row r="172" spans="20:28" ht="13">
      <c r="T172" s="49" t="str">
        <f ca="1">IFERROR(__xludf.DUMMYFUNCTION("""COMPUTED_VALUE"""),"FCS Computer Systems (Hospitality Tech)")</f>
        <v>FCS Computer Systems (Hospitality Tech)</v>
      </c>
      <c r="U172" s="49">
        <f ca="1">COUNTIF('Awesome People List-Master'!D:D,T172)</f>
        <v>1</v>
      </c>
      <c r="X172" s="333" t="s">
        <v>8378</v>
      </c>
      <c r="Y172" s="334">
        <v>1</v>
      </c>
      <c r="AB172" s="169">
        <f>ROUND('Awesome People List-Master'!A170,0)</f>
        <v>43925</v>
      </c>
    </row>
    <row r="173" spans="20:28" ht="13">
      <c r="T173" s="49" t="str">
        <f ca="1">IFERROR(__xludf.DUMMYFUNCTION("""COMPUTED_VALUE"""),"Sensorflow Pte Ltd")</f>
        <v>Sensorflow Pte Ltd</v>
      </c>
      <c r="U173" s="49">
        <f ca="1">COUNTIF('Awesome People List-Master'!D:D,T173)</f>
        <v>1</v>
      </c>
      <c r="X173" s="333" t="s">
        <v>7211</v>
      </c>
      <c r="Y173" s="334">
        <v>1</v>
      </c>
      <c r="AB173" s="169">
        <f>ROUND('Awesome People List-Master'!A171,0)</f>
        <v>43925</v>
      </c>
    </row>
    <row r="174" spans="20:28" ht="13">
      <c r="T174" s="56" t="str">
        <f ca="1">IFERROR(__xludf.DUMMYFUNCTION("""COMPUTED_VALUE"""),"Ibunda.id")</f>
        <v>Ibunda.id</v>
      </c>
      <c r="U174" s="49">
        <f ca="1">COUNTIF('Awesome People List-Master'!D:D,T174)</f>
        <v>1</v>
      </c>
      <c r="X174" s="333" t="s">
        <v>8406</v>
      </c>
      <c r="Y174" s="334">
        <v>1</v>
      </c>
      <c r="AB174" s="169">
        <f>ROUND('Awesome People List-Master'!A172,0)</f>
        <v>43925</v>
      </c>
    </row>
    <row r="175" spans="20:28" ht="13">
      <c r="T175" s="49" t="str">
        <f ca="1">IFERROR(__xludf.DUMMYFUNCTION("""COMPUTED_VALUE"""),"Levi Strauss, Singapore")</f>
        <v>Levi Strauss, Singapore</v>
      </c>
      <c r="U175" s="49">
        <f ca="1">COUNTIF('Awesome People List-Master'!D:D,T175)</f>
        <v>1</v>
      </c>
      <c r="X175" s="333" t="s">
        <v>7224</v>
      </c>
      <c r="Y175" s="334">
        <v>1</v>
      </c>
      <c r="AB175" s="169">
        <f>ROUND('Awesome People List-Master'!A173,0)</f>
        <v>43925</v>
      </c>
    </row>
    <row r="176" spans="20:28" ht="13">
      <c r="T176" s="49" t="str">
        <f ca="1">IFERROR(__xludf.DUMMYFUNCTION("""COMPUTED_VALUE"""),"The F Thing")</f>
        <v>The F Thing</v>
      </c>
      <c r="U176" s="49">
        <f ca="1">COUNTIF('Awesome People List-Master'!D:D,T176)</f>
        <v>2</v>
      </c>
      <c r="X176" s="333" t="s">
        <v>7609</v>
      </c>
      <c r="Y176" s="334">
        <v>1</v>
      </c>
      <c r="AB176" s="169">
        <f>ROUND('Awesome People List-Master'!A174,0)</f>
        <v>43925</v>
      </c>
    </row>
    <row r="177" spans="20:28" ht="13">
      <c r="T177" s="49" t="str">
        <f ca="1">IFERROR(__xludf.DUMMYFUNCTION("""COMPUTED_VALUE"""),"Rainmaking")</f>
        <v>Rainmaking</v>
      </c>
      <c r="U177" s="49">
        <f ca="1">COUNTIF('Awesome People List-Master'!D:D,T177)</f>
        <v>1</v>
      </c>
      <c r="X177" s="333" t="s">
        <v>7237</v>
      </c>
      <c r="Y177" s="334">
        <v>1</v>
      </c>
      <c r="AB177" s="169">
        <f>ROUND('Awesome People List-Master'!A175,0)</f>
        <v>43925</v>
      </c>
    </row>
    <row r="178" spans="20:28" ht="13">
      <c r="T178" s="49" t="str">
        <f ca="1">IFERROR(__xludf.DUMMYFUNCTION("""COMPUTED_VALUE"""),"OWOX BI")</f>
        <v>OWOX BI</v>
      </c>
      <c r="U178" s="49">
        <f ca="1">COUNTIF('Awesome People List-Master'!D:D,T178)</f>
        <v>1</v>
      </c>
      <c r="X178" s="333" t="s">
        <v>8462</v>
      </c>
      <c r="Y178" s="334">
        <v>1</v>
      </c>
      <c r="AB178" s="169">
        <f>ROUND('Awesome People List-Master'!A176,0)</f>
        <v>43925</v>
      </c>
    </row>
    <row r="179" spans="20:28" ht="13">
      <c r="T179" s="49" t="str">
        <f ca="1">IFERROR(__xludf.DUMMYFUNCTION("""COMPUTED_VALUE"""),"ASTRA Sport")</f>
        <v>ASTRA Sport</v>
      </c>
      <c r="U179" s="49">
        <f ca="1">COUNTIF('Awesome People List-Master'!D:D,T179)</f>
        <v>1</v>
      </c>
      <c r="X179" s="333" t="s">
        <v>7243</v>
      </c>
      <c r="Y179" s="334">
        <v>1</v>
      </c>
      <c r="AB179" s="169">
        <f>ROUND('Awesome People List-Master'!A177,0)</f>
        <v>43926</v>
      </c>
    </row>
    <row r="180" spans="20:28" ht="13">
      <c r="T180" s="49" t="str">
        <f ca="1">IFERROR(__xludf.DUMMYFUNCTION("""COMPUTED_VALUE"""),"Arcus Financial ")</f>
        <v xml:space="preserve">Arcus Financial </v>
      </c>
      <c r="U180" s="49">
        <f ca="1">COUNTIF('Awesome People List-Master'!D:D,T180)</f>
        <v>1</v>
      </c>
      <c r="X180" s="333" t="s">
        <v>8206</v>
      </c>
      <c r="Y180" s="334">
        <v>1</v>
      </c>
      <c r="AB180" s="169">
        <f>ROUND('Awesome People List-Master'!A178,0)</f>
        <v>43926</v>
      </c>
    </row>
    <row r="181" spans="20:28" ht="13">
      <c r="T181" s="49" t="str">
        <f ca="1">IFERROR(__xludf.DUMMYFUNCTION("""COMPUTED_VALUE"""),"Circles Life Technology")</f>
        <v>Circles Life Technology</v>
      </c>
      <c r="U181" s="49">
        <f ca="1">COUNTIF('Awesome People List-Master'!D:D,T181)</f>
        <v>1</v>
      </c>
      <c r="X181" s="333" t="s">
        <v>7252</v>
      </c>
      <c r="Y181" s="334">
        <v>1</v>
      </c>
      <c r="AB181" s="169">
        <f>ROUND('Awesome People List-Master'!A179,0)</f>
        <v>43926</v>
      </c>
    </row>
    <row r="182" spans="20:28" ht="13">
      <c r="T182" s="49" t="str">
        <f ca="1">IFERROR(__xludf.DUMMYFUNCTION("""COMPUTED_VALUE"""),"FINBOTS AI Solutions Pte ")</f>
        <v xml:space="preserve">FINBOTS AI Solutions Pte </v>
      </c>
      <c r="U182" s="49">
        <f ca="1">COUNTIF('Awesome People List-Master'!D:D,T182)</f>
        <v>1</v>
      </c>
      <c r="X182" s="333" t="s">
        <v>8554</v>
      </c>
      <c r="Y182" s="334">
        <v>1</v>
      </c>
      <c r="AB182" s="169">
        <f>ROUND('Awesome People List-Master'!A180,0)</f>
        <v>43926</v>
      </c>
    </row>
    <row r="183" spans="20:28" ht="13">
      <c r="T183" s="49" t="str">
        <f ca="1">IFERROR(__xludf.DUMMYFUNCTION("""COMPUTED_VALUE"""),"OYO Indonesia")</f>
        <v>OYO Indonesia</v>
      </c>
      <c r="U183" s="49">
        <f ca="1">COUNTIF('Awesome People List-Master'!D:D,T183)</f>
        <v>7</v>
      </c>
      <c r="X183" s="333" t="s">
        <v>7259</v>
      </c>
      <c r="Y183" s="334">
        <v>1</v>
      </c>
      <c r="AB183" s="169">
        <f>ROUND('Awesome People List-Master'!A181,0)</f>
        <v>43926</v>
      </c>
    </row>
    <row r="184" spans="20:28" ht="13">
      <c r="T184" s="49" t="str">
        <f ca="1">IFERROR(__xludf.DUMMYFUNCTION("""COMPUTED_VALUE"""),"XSEED Education Private Limited")</f>
        <v>XSEED Education Private Limited</v>
      </c>
      <c r="U184" s="49">
        <f ca="1">COUNTIF('Awesome People List-Master'!D:D,T184)</f>
        <v>1</v>
      </c>
      <c r="X184" s="333" t="s">
        <v>8579</v>
      </c>
      <c r="Y184" s="334">
        <v>1</v>
      </c>
      <c r="AB184" s="169">
        <f>ROUND('Awesome People List-Master'!A182,0)</f>
        <v>43926</v>
      </c>
    </row>
    <row r="185" spans="20:28" ht="13">
      <c r="T185" s="56" t="str">
        <f ca="1">IFERROR(__xludf.DUMMYFUNCTION("""COMPUTED_VALUE"""),"Homecare24.id")</f>
        <v>Homecare24.id</v>
      </c>
      <c r="U185" s="49">
        <f ca="1">COUNTIF('Awesome People List-Master'!D:D,T185)</f>
        <v>1</v>
      </c>
      <c r="X185" s="333" t="s">
        <v>7265</v>
      </c>
      <c r="Y185" s="334">
        <v>1</v>
      </c>
      <c r="AB185" s="169">
        <f>ROUND('Awesome People List-Master'!A183,0)</f>
        <v>43926</v>
      </c>
    </row>
    <row r="186" spans="20:28" ht="13">
      <c r="T186" s="49" t="str">
        <f ca="1">IFERROR(__xludf.DUMMYFUNCTION("""COMPUTED_VALUE"""),"PwC Dubai")</f>
        <v>PwC Dubai</v>
      </c>
      <c r="U186" s="49">
        <f ca="1">COUNTIF('Awesome People List-Master'!D:D,T186)</f>
        <v>1</v>
      </c>
      <c r="X186" s="333" t="s">
        <v>8617</v>
      </c>
      <c r="Y186" s="334">
        <v>1</v>
      </c>
      <c r="AB186" s="169">
        <f>ROUND('Awesome People List-Master'!A184,0)</f>
        <v>43926</v>
      </c>
    </row>
    <row r="187" spans="20:28" ht="13">
      <c r="T187" s="49" t="str">
        <f ca="1">IFERROR(__xludf.DUMMYFUNCTION("""COMPUTED_VALUE"""),"Zenyum")</f>
        <v>Zenyum</v>
      </c>
      <c r="U187" s="49">
        <f ca="1">COUNTIF('Awesome People List-Master'!D:D,T187)</f>
        <v>1</v>
      </c>
      <c r="X187" s="333" t="s">
        <v>7274</v>
      </c>
      <c r="Y187" s="334">
        <v>1</v>
      </c>
      <c r="AB187" s="169">
        <f>ROUND('Awesome People List-Master'!A185,0)</f>
        <v>43926</v>
      </c>
    </row>
    <row r="188" spans="20:28" ht="13">
      <c r="T188" s="49" t="str">
        <f ca="1">IFERROR(__xludf.DUMMYFUNCTION("""COMPUTED_VALUE"""),"PHAR Partnerships ")</f>
        <v xml:space="preserve">PHAR Partnerships </v>
      </c>
      <c r="U188" s="49">
        <f ca="1">COUNTIF('Awesome People List-Master'!D:D,T188)</f>
        <v>1</v>
      </c>
      <c r="X188" s="333" t="s">
        <v>8649</v>
      </c>
      <c r="Y188" s="334">
        <v>1</v>
      </c>
      <c r="AB188" s="169">
        <f>ROUND('Awesome People List-Master'!A186,0)</f>
        <v>43926</v>
      </c>
    </row>
    <row r="189" spans="20:28" ht="13">
      <c r="T189" s="49" t="str">
        <f ca="1">IFERROR(__xludf.DUMMYFUNCTION("""COMPUTED_VALUE"""),"Ekipa Agile Consultancy")</f>
        <v>Ekipa Agile Consultancy</v>
      </c>
      <c r="U189" s="49">
        <f ca="1">COUNTIF('Awesome People List-Master'!D:D,T189)</f>
        <v>1</v>
      </c>
      <c r="X189" s="333" t="s">
        <v>7282</v>
      </c>
      <c r="Y189" s="334">
        <v>1</v>
      </c>
      <c r="AB189" s="169">
        <f>ROUND('Awesome People List-Master'!A187,0)</f>
        <v>43926</v>
      </c>
    </row>
    <row r="190" spans="20:28" ht="13">
      <c r="T190" s="49" t="str">
        <f ca="1">IFERROR(__xludf.DUMMYFUNCTION("""COMPUTED_VALUE"""),"IIT Kharagpur")</f>
        <v>IIT Kharagpur</v>
      </c>
      <c r="U190" s="49">
        <f ca="1">COUNTIF('Awesome People List-Master'!D:D,T190)</f>
        <v>1</v>
      </c>
      <c r="X190" s="333" t="s">
        <v>8678</v>
      </c>
      <c r="Y190" s="334">
        <v>1</v>
      </c>
      <c r="AB190" s="169">
        <f>ROUND('Awesome People List-Master'!A188,0)</f>
        <v>43926</v>
      </c>
    </row>
    <row r="191" spans="20:28" ht="13">
      <c r="T191" s="49" t="str">
        <f ca="1">IFERROR(__xludf.DUMMYFUNCTION("""COMPUTED_VALUE"""),"Alpha7")</f>
        <v>Alpha7</v>
      </c>
      <c r="U191" s="49">
        <f ca="1">COUNTIF('Awesome People List-Master'!D:D,T191)</f>
        <v>1</v>
      </c>
      <c r="X191" s="333" t="s">
        <v>7290</v>
      </c>
      <c r="Y191" s="334">
        <v>1</v>
      </c>
      <c r="AB191" s="169">
        <f>ROUND('Awesome People List-Master'!A189,0)</f>
        <v>43926</v>
      </c>
    </row>
    <row r="192" spans="20:28" ht="13">
      <c r="T192" s="56" t="str">
        <f ca="1">IFERROR(__xludf.DUMMYFUNCTION("""COMPUTED_VALUE"""),"Ralali.com")</f>
        <v>Ralali.com</v>
      </c>
      <c r="U192" s="49">
        <f ca="1">COUNTIF('Awesome People List-Master'!D:D,T192)</f>
        <v>4</v>
      </c>
      <c r="X192" s="333" t="s">
        <v>8709</v>
      </c>
      <c r="Y192" s="334">
        <v>1</v>
      </c>
      <c r="AB192" s="169">
        <f>ROUND('Awesome People List-Master'!A190,0)</f>
        <v>43926</v>
      </c>
    </row>
    <row r="193" spans="20:28" ht="13">
      <c r="T193" s="49" t="str">
        <f ca="1">IFERROR(__xludf.DUMMYFUNCTION("""COMPUTED_VALUE"""),"Creadits Pte Ltd")</f>
        <v>Creadits Pte Ltd</v>
      </c>
      <c r="U193" s="49">
        <f ca="1">COUNTIF('Awesome People List-Master'!D:D,T193)</f>
        <v>1</v>
      </c>
      <c r="X193" s="333" t="s">
        <v>7299</v>
      </c>
      <c r="Y193" s="334">
        <v>1</v>
      </c>
      <c r="AB193" s="169">
        <f>ROUND('Awesome People List-Master'!A191,0)</f>
        <v>43926</v>
      </c>
    </row>
    <row r="194" spans="20:28" ht="13">
      <c r="T194" s="49" t="str">
        <f ca="1">IFERROR(__xludf.DUMMYFUNCTION("""COMPUTED_VALUE"""),"honestbee")</f>
        <v>honestbee</v>
      </c>
      <c r="U194" s="49">
        <f ca="1">COUNTIF('Awesome People List-Master'!D:D,T194)</f>
        <v>3</v>
      </c>
      <c r="X194" s="333" t="s">
        <v>8864</v>
      </c>
      <c r="Y194" s="334">
        <v>1</v>
      </c>
      <c r="AB194" s="169">
        <f>ROUND('Awesome People List-Master'!A192,0)</f>
        <v>43926</v>
      </c>
    </row>
    <row r="195" spans="20:28" ht="13">
      <c r="T195" s="49" t="str">
        <f ca="1">IFERROR(__xludf.DUMMYFUNCTION("""COMPUTED_VALUE"""),"Phoenix Communications")</f>
        <v>Phoenix Communications</v>
      </c>
      <c r="U195" s="49">
        <f ca="1">COUNTIF('Awesome People List-Master'!D:D,T195)</f>
        <v>1</v>
      </c>
      <c r="X195" s="333" t="s">
        <v>7307</v>
      </c>
      <c r="Y195" s="334">
        <v>1</v>
      </c>
      <c r="AB195" s="169">
        <f>ROUND('Awesome People List-Master'!A193,0)</f>
        <v>43926</v>
      </c>
    </row>
    <row r="196" spans="20:28" ht="13">
      <c r="T196" s="49" t="str">
        <f ca="1">IFERROR(__xludf.DUMMYFUNCTION("""COMPUTED_VALUE"""),"Lynk Global")</f>
        <v>Lynk Global</v>
      </c>
      <c r="U196" s="49">
        <f ca="1">COUNTIF('Awesome People List-Master'!D:D,T196)</f>
        <v>1</v>
      </c>
      <c r="X196" s="333" t="s">
        <v>7330</v>
      </c>
      <c r="Y196" s="334">
        <v>1</v>
      </c>
      <c r="AB196" s="169">
        <f>ROUND('Awesome People List-Master'!A194,0)</f>
        <v>43926</v>
      </c>
    </row>
    <row r="197" spans="20:28" ht="13">
      <c r="T197" s="49" t="str">
        <f ca="1">IFERROR(__xludf.DUMMYFUNCTION("""COMPUTED_VALUE"""),"Finflee Teknologi Indonesia")</f>
        <v>Finflee Teknologi Indonesia</v>
      </c>
      <c r="U197" s="49">
        <f ca="1">COUNTIF('Awesome People List-Master'!D:D,T197)</f>
        <v>1</v>
      </c>
      <c r="X197" s="333" t="s">
        <v>7317</v>
      </c>
      <c r="Y197" s="334">
        <v>1</v>
      </c>
      <c r="AB197" s="169">
        <f>ROUND('Awesome People List-Master'!A195,0)</f>
        <v>43926</v>
      </c>
    </row>
    <row r="198" spans="20:28" ht="13">
      <c r="T198" s="49" t="str">
        <f ca="1">IFERROR(__xludf.DUMMYFUNCTION("""COMPUTED_VALUE"""),"Circles.Life")</f>
        <v>Circles.Life</v>
      </c>
      <c r="U198" s="49">
        <f ca="1">COUNTIF('Awesome People List-Master'!D:D,T198)</f>
        <v>1</v>
      </c>
      <c r="X198" s="333" t="s">
        <v>8951</v>
      </c>
      <c r="Y198" s="334">
        <v>1</v>
      </c>
      <c r="AB198" s="169">
        <f>ROUND('Awesome People List-Master'!A196,0)</f>
        <v>43926</v>
      </c>
    </row>
    <row r="199" spans="20:28" ht="13">
      <c r="T199" s="49" t="str">
        <f ca="1">IFERROR(__xludf.DUMMYFUNCTION("""COMPUTED_VALUE"""),"Uber")</f>
        <v>Uber</v>
      </c>
      <c r="U199" s="49">
        <f ca="1">COUNTIF('Awesome People List-Master'!D:D,T199)</f>
        <v>3</v>
      </c>
      <c r="X199" s="333" t="s">
        <v>7327</v>
      </c>
      <c r="Y199" s="334">
        <v>1</v>
      </c>
      <c r="AB199" s="169">
        <f>ROUND('Awesome People List-Master'!A197,0)</f>
        <v>43926</v>
      </c>
    </row>
    <row r="200" spans="20:28" ht="13">
      <c r="T200" s="49" t="str">
        <f ca="1">IFERROR(__xludf.DUMMYFUNCTION("""COMPUTED_VALUE"""),"Google Inc")</f>
        <v>Google Inc</v>
      </c>
      <c r="U200" s="49">
        <f ca="1">COUNTIF('Awesome People List-Master'!D:D,T200)</f>
        <v>1</v>
      </c>
      <c r="X200" s="333" t="s">
        <v>8999</v>
      </c>
      <c r="Y200" s="334">
        <v>1</v>
      </c>
      <c r="AB200" s="169">
        <f>ROUND('Awesome People List-Master'!A198,0)</f>
        <v>43926</v>
      </c>
    </row>
    <row r="201" spans="20:28" ht="13">
      <c r="T201" s="49" t="str">
        <f ca="1">IFERROR(__xludf.DUMMYFUNCTION("""COMPUTED_VALUE"""),"Agri Teknologi Indonesia")</f>
        <v>Agri Teknologi Indonesia</v>
      </c>
      <c r="U201" s="49">
        <f ca="1">COUNTIF('Awesome People List-Master'!D:D,T201)</f>
        <v>1</v>
      </c>
      <c r="X201" s="333" t="s">
        <v>7340</v>
      </c>
      <c r="Y201" s="334">
        <v>1</v>
      </c>
      <c r="AB201" s="169">
        <f>ROUND('Awesome People List-Master'!A199,0)</f>
        <v>43927</v>
      </c>
    </row>
    <row r="202" spans="20:28" ht="13">
      <c r="T202" s="49" t="str">
        <f ca="1">IFERROR(__xludf.DUMMYFUNCTION("""COMPUTED_VALUE"""),"Cashwagon Indonesia")</f>
        <v>Cashwagon Indonesia</v>
      </c>
      <c r="U202" s="49">
        <f ca="1">COUNTIF('Awesome People List-Master'!D:D,T202)</f>
        <v>1</v>
      </c>
      <c r="X202" s="333" t="s">
        <v>9028</v>
      </c>
      <c r="Y202" s="334">
        <v>1</v>
      </c>
      <c r="AB202" s="169">
        <f>ROUND('Awesome People List-Master'!A200,0)</f>
        <v>43927</v>
      </c>
    </row>
    <row r="203" spans="20:28" ht="13">
      <c r="T203" s="49" t="str">
        <f ca="1">IFERROR(__xludf.DUMMYFUNCTION("""COMPUTED_VALUE"""),"PT Kahar Duta Sarana")</f>
        <v>PT Kahar Duta Sarana</v>
      </c>
      <c r="U203" s="49">
        <f ca="1">COUNTIF('Awesome People List-Master'!D:D,T203)</f>
        <v>1</v>
      </c>
      <c r="X203" s="333" t="s">
        <v>7347</v>
      </c>
      <c r="Y203" s="334">
        <v>1</v>
      </c>
      <c r="AB203" s="169">
        <f>ROUND('Awesome People List-Master'!A201,0)</f>
        <v>43927</v>
      </c>
    </row>
    <row r="204" spans="20:28" ht="13">
      <c r="T204" s="49" t="str">
        <f ca="1">IFERROR(__xludf.DUMMYFUNCTION("""COMPUTED_VALUE"""),"SweetEscape")</f>
        <v>SweetEscape</v>
      </c>
      <c r="U204" s="49">
        <f ca="1">COUNTIF('Awesome People List-Master'!D:D,T204)</f>
        <v>44</v>
      </c>
      <c r="X204" s="333" t="s">
        <v>9061</v>
      </c>
      <c r="Y204" s="334">
        <v>1</v>
      </c>
      <c r="AB204" s="169">
        <f>ROUND('Awesome People List-Master'!A202,0)</f>
        <v>43927</v>
      </c>
    </row>
    <row r="205" spans="20:28" ht="13">
      <c r="T205" s="49" t="str">
        <f ca="1">IFERROR(__xludf.DUMMYFUNCTION("""COMPUTED_VALUE"""),"Mekari")</f>
        <v>Mekari</v>
      </c>
      <c r="U205" s="49">
        <f ca="1">COUNTIF('Awesome People List-Master'!D:D,T205)</f>
        <v>3</v>
      </c>
      <c r="X205" s="333" t="s">
        <v>7361</v>
      </c>
      <c r="Y205" s="334">
        <v>1</v>
      </c>
      <c r="AB205" s="169">
        <f>ROUND('Awesome People List-Master'!A203,0)</f>
        <v>43927</v>
      </c>
    </row>
    <row r="206" spans="20:28" ht="13">
      <c r="T206" s="49" t="str">
        <f ca="1">IFERROR(__xludf.DUMMYFUNCTION("""COMPUTED_VALUE"""),"OxMet Technologies")</f>
        <v>OxMet Technologies</v>
      </c>
      <c r="U206" s="49">
        <f ca="1">COUNTIF('Awesome People List-Master'!D:D,T206)</f>
        <v>1</v>
      </c>
      <c r="X206" s="333" t="s">
        <v>9091</v>
      </c>
      <c r="Y206" s="334">
        <v>1</v>
      </c>
      <c r="AB206" s="169">
        <f>ROUND('Awesome People List-Master'!A204,0)</f>
        <v>43927</v>
      </c>
    </row>
    <row r="207" spans="20:28" ht="13">
      <c r="T207" s="49" t="str">
        <f ca="1">IFERROR(__xludf.DUMMYFUNCTION("""COMPUTED_VALUE"""),"TIX ID")</f>
        <v>TIX ID</v>
      </c>
      <c r="U207" s="49">
        <f ca="1">COUNTIF('Awesome People List-Master'!D:D,T207)</f>
        <v>2</v>
      </c>
      <c r="X207" s="333" t="s">
        <v>7383</v>
      </c>
      <c r="Y207" s="334">
        <v>1</v>
      </c>
      <c r="AB207" s="169" t="e">
        <f>ROUND(#REF!,0)</f>
        <v>#REF!</v>
      </c>
    </row>
    <row r="208" spans="20:28" ht="13">
      <c r="T208" s="49" t="str">
        <f ca="1">IFERROR(__xludf.DUMMYFUNCTION("""COMPUTED_VALUE"""),"BroSisPKU")</f>
        <v>BroSisPKU</v>
      </c>
      <c r="U208" s="49">
        <f ca="1">COUNTIF('Awesome People List-Master'!D:D,T208)</f>
        <v>1</v>
      </c>
      <c r="X208" s="333" t="s">
        <v>9054</v>
      </c>
      <c r="Y208" s="334">
        <v>1</v>
      </c>
      <c r="AB208" s="169">
        <f>ROUND('Awesome People List-Master'!A205,0)</f>
        <v>43927</v>
      </c>
    </row>
    <row r="209" spans="20:28" ht="13">
      <c r="T209" s="49" t="str">
        <f ca="1">IFERROR(__xludf.DUMMYFUNCTION("""COMPUTED_VALUE"""),"Creadits ")</f>
        <v xml:space="preserve">Creadits </v>
      </c>
      <c r="U209" s="49">
        <f ca="1">COUNTIF('Awesome People List-Master'!D:D,T209)</f>
        <v>1</v>
      </c>
      <c r="X209" s="333" t="s">
        <v>7324</v>
      </c>
      <c r="Y209" s="334">
        <v>1</v>
      </c>
      <c r="AB209" s="169">
        <f>ROUND('Awesome People List-Master'!A206,0)</f>
        <v>43927</v>
      </c>
    </row>
    <row r="210" spans="20:28" ht="13">
      <c r="T210" s="49" t="str">
        <f ca="1">IFERROR(__xludf.DUMMYFUNCTION("""COMPUTED_VALUE"""),"Funding Societies")</f>
        <v>Funding Societies</v>
      </c>
      <c r="U210" s="49">
        <f ca="1">COUNTIF('Awesome People List-Master'!D:D,T210)</f>
        <v>1</v>
      </c>
      <c r="X210" s="333" t="s">
        <v>8036</v>
      </c>
      <c r="Y210" s="334">
        <v>1</v>
      </c>
      <c r="AB210" s="169">
        <f>ROUND('Awesome People List-Master'!A207,0)</f>
        <v>43927</v>
      </c>
    </row>
    <row r="211" spans="20:28" ht="13">
      <c r="T211" s="49" t="str">
        <f ca="1">IFERROR(__xludf.DUMMYFUNCTION("""COMPUTED_VALUE"""),"Axinan Pte Ltd")</f>
        <v>Axinan Pte Ltd</v>
      </c>
      <c r="U211" s="49">
        <f ca="1">COUNTIF('Awesome People List-Master'!D:D,T211)</f>
        <v>1</v>
      </c>
      <c r="X211" s="333" t="s">
        <v>6711</v>
      </c>
      <c r="Y211" s="334">
        <v>1</v>
      </c>
      <c r="AB211" s="169">
        <f>ROUND('Awesome People List-Master'!A208,0)</f>
        <v>43927</v>
      </c>
    </row>
    <row r="212" spans="20:28" ht="13">
      <c r="T212" s="49" t="str">
        <f ca="1">IFERROR(__xludf.DUMMYFUNCTION("""COMPUTED_VALUE"""),"Talent Indonesia : Indonesia Ministry of Manpower")</f>
        <v>Talent Indonesia : Indonesia Ministry of Manpower</v>
      </c>
      <c r="U212" s="49">
        <f ca="1">COUNTIF('Awesome People List-Master'!D:D,T212)</f>
        <v>1</v>
      </c>
      <c r="X212" s="333" t="s">
        <v>8486</v>
      </c>
      <c r="Y212" s="334">
        <v>1</v>
      </c>
      <c r="AB212" s="169">
        <f>ROUND('Awesome People List-Master'!A209,0)</f>
        <v>43927</v>
      </c>
    </row>
    <row r="213" spans="20:28" ht="13">
      <c r="T213" s="49" t="str">
        <f ca="1">IFERROR(__xludf.DUMMYFUNCTION("""COMPUTED_VALUE"""),"JAWAPOSTV")</f>
        <v>JAWAPOSTV</v>
      </c>
      <c r="U213" s="49">
        <f ca="1">COUNTIF('Awesome People List-Master'!D:D,T213)</f>
        <v>1</v>
      </c>
      <c r="X213" s="333" t="s">
        <v>7400</v>
      </c>
      <c r="Y213" s="334">
        <v>1</v>
      </c>
      <c r="AB213" s="169">
        <f>ROUND('Awesome People List-Master'!A210,0)</f>
        <v>43927</v>
      </c>
    </row>
    <row r="214" spans="20:28" ht="13">
      <c r="T214" s="49" t="str">
        <f ca="1">IFERROR(__xludf.DUMMYFUNCTION("""COMPUTED_VALUE"""),"Hotel Bluesky Pandurata")</f>
        <v>Hotel Bluesky Pandurata</v>
      </c>
      <c r="U214" s="49">
        <f ca="1">COUNTIF('Awesome People List-Master'!D:D,T214)</f>
        <v>1</v>
      </c>
      <c r="X214" s="333" t="s">
        <v>9398</v>
      </c>
      <c r="Y214" s="334">
        <v>1</v>
      </c>
      <c r="AB214" s="169">
        <f>ROUND('Awesome People List-Master'!A211,0)</f>
        <v>43927</v>
      </c>
    </row>
    <row r="215" spans="20:28" ht="13">
      <c r="T215" s="49" t="str">
        <f ca="1">IFERROR(__xludf.DUMMYFUNCTION("""COMPUTED_VALUE"""),"Vizitrip")</f>
        <v>Vizitrip</v>
      </c>
      <c r="U215" s="49">
        <f ca="1">COUNTIF('Awesome People List-Master'!D:D,T215)</f>
        <v>2</v>
      </c>
      <c r="X215" s="333" t="s">
        <v>7413</v>
      </c>
      <c r="Y215" s="334">
        <v>1</v>
      </c>
      <c r="AB215" s="169">
        <f>ROUND('Awesome People List-Master'!A212,0)</f>
        <v>43927</v>
      </c>
    </row>
    <row r="216" spans="20:28" ht="13">
      <c r="T216" s="49" t="str">
        <f ca="1">IFERROR(__xludf.DUMMYFUNCTION("""COMPUTED_VALUE"""),"Honestbee")</f>
        <v>Honestbee</v>
      </c>
      <c r="U216" s="49">
        <f ca="1">COUNTIF('Awesome People List-Master'!D:D,T216)</f>
        <v>3</v>
      </c>
      <c r="X216" s="333" t="s">
        <v>9411</v>
      </c>
      <c r="Y216" s="334">
        <v>1</v>
      </c>
      <c r="AB216" s="169">
        <f>ROUND('Awesome People List-Master'!A213,0)</f>
        <v>43927</v>
      </c>
    </row>
    <row r="217" spans="20:28" ht="13">
      <c r="T217" s="49" t="str">
        <f ca="1">IFERROR(__xludf.DUMMYFUNCTION("""COMPUTED_VALUE"""),"PT RAKSASA LAJU LINTANG (RALALI)")</f>
        <v>PT RAKSASA LAJU LINTANG (RALALI)</v>
      </c>
      <c r="U217" s="49">
        <f ca="1">COUNTIF('Awesome People List-Master'!D:D,T217)</f>
        <v>1</v>
      </c>
      <c r="X217" s="333" t="s">
        <v>7420</v>
      </c>
      <c r="Y217" s="334">
        <v>1</v>
      </c>
      <c r="AB217" s="169">
        <f>ROUND('Awesome People List-Master'!A214,0)</f>
        <v>43927</v>
      </c>
    </row>
    <row r="218" spans="20:28" ht="13">
      <c r="T218" s="49" t="str">
        <f ca="1">IFERROR(__xludf.DUMMYFUNCTION("""COMPUTED_VALUE"""),"Instant Offices")</f>
        <v>Instant Offices</v>
      </c>
      <c r="U218" s="49">
        <f ca="1">COUNTIF('Awesome People List-Master'!D:D,T218)</f>
        <v>1</v>
      </c>
      <c r="X218" s="333" t="s">
        <v>8120</v>
      </c>
      <c r="Y218" s="334">
        <v>1</v>
      </c>
      <c r="AB218" s="169">
        <f>ROUND('Awesome People List-Master'!A215,0)</f>
        <v>43927</v>
      </c>
    </row>
    <row r="219" spans="20:28" ht="13">
      <c r="T219" s="49" t="str">
        <f ca="1">IFERROR(__xludf.DUMMYFUNCTION("""COMPUTED_VALUE"""),"Ks Link")</f>
        <v>Ks Link</v>
      </c>
      <c r="U219" s="49">
        <f ca="1">COUNTIF('Awesome People List-Master'!D:D,T219)</f>
        <v>1</v>
      </c>
      <c r="X219" s="333" t="s">
        <v>7427</v>
      </c>
      <c r="Y219" s="334">
        <v>1</v>
      </c>
      <c r="AB219" s="169">
        <f>ROUND('Awesome People List-Master'!A216,0)</f>
        <v>43927</v>
      </c>
    </row>
    <row r="220" spans="20:28" ht="13">
      <c r="T220" s="49" t="str">
        <f ca="1">IFERROR(__xludf.DUMMYFUNCTION("""COMPUTED_VALUE"""),"TORAY Singapore Water Research Center")</f>
        <v>TORAY Singapore Water Research Center</v>
      </c>
      <c r="U220" s="49">
        <f ca="1">COUNTIF('Awesome People List-Master'!D:D,T220)</f>
        <v>1</v>
      </c>
      <c r="X220" s="333" t="s">
        <v>8152</v>
      </c>
      <c r="Y220" s="334">
        <v>1</v>
      </c>
      <c r="AB220" s="169">
        <f>ROUND('Awesome People List-Master'!A217,0)</f>
        <v>43927</v>
      </c>
    </row>
    <row r="221" spans="20:28" ht="13">
      <c r="T221" s="49" t="str">
        <f ca="1">IFERROR(__xludf.DUMMYFUNCTION("""COMPUTED_VALUE"""),"Sembcorp Utilities ")</f>
        <v xml:space="preserve">Sembcorp Utilities </v>
      </c>
      <c r="U221" s="49">
        <f ca="1">COUNTIF('Awesome People List-Master'!D:D,T221)</f>
        <v>1</v>
      </c>
      <c r="X221" s="333" t="s">
        <v>6771</v>
      </c>
      <c r="Y221" s="334">
        <v>1</v>
      </c>
      <c r="AB221" s="169">
        <f>ROUND('Awesome People List-Master'!A218,0)</f>
        <v>43927</v>
      </c>
    </row>
    <row r="222" spans="20:28" ht="13">
      <c r="T222" s="49" t="str">
        <f ca="1">IFERROR(__xludf.DUMMYFUNCTION("""COMPUTED_VALUE"""),"International Animal Rescue Indonesia")</f>
        <v>International Animal Rescue Indonesia</v>
      </c>
      <c r="U222" s="49">
        <f ca="1">COUNTIF('Awesome People List-Master'!D:D,T222)</f>
        <v>1</v>
      </c>
      <c r="X222" s="333" t="s">
        <v>7810</v>
      </c>
      <c r="Y222" s="334">
        <v>1</v>
      </c>
      <c r="AB222" s="169">
        <f>ROUND('Awesome People List-Master'!A219,0)</f>
        <v>43927</v>
      </c>
    </row>
    <row r="223" spans="20:28" ht="13">
      <c r="T223" s="49" t="str">
        <f ca="1">IFERROR(__xludf.DUMMYFUNCTION("""COMPUTED_VALUE"""),"JW Marriott Medan")</f>
        <v>JW Marriott Medan</v>
      </c>
      <c r="U223" s="49">
        <f ca="1">COUNTIF('Awesome People List-Master'!D:D,T223)</f>
        <v>1</v>
      </c>
      <c r="X223" s="333" t="s">
        <v>7460</v>
      </c>
      <c r="Y223" s="334">
        <v>1</v>
      </c>
      <c r="AB223" s="169">
        <f>ROUND('Awesome People List-Master'!A220,0)</f>
        <v>43927</v>
      </c>
    </row>
    <row r="224" spans="20:28" ht="13">
      <c r="T224" s="49" t="str">
        <f ca="1">IFERROR(__xludf.DUMMYFUNCTION("""COMPUTED_VALUE"""),"Ascend Group")</f>
        <v>Ascend Group</v>
      </c>
      <c r="U224" s="49">
        <f ca="1">COUNTIF('Awesome People List-Master'!D:D,T224)</f>
        <v>1</v>
      </c>
      <c r="X224" s="333" t="s">
        <v>7815</v>
      </c>
      <c r="Y224" s="334">
        <v>1</v>
      </c>
      <c r="AB224" s="169">
        <f>ROUND('Awesome People List-Master'!A221,0)</f>
        <v>43927</v>
      </c>
    </row>
    <row r="225" spans="20:28" ht="13">
      <c r="T225" s="49" t="str">
        <f ca="1">IFERROR(__xludf.DUMMYFUNCTION("""COMPUTED_VALUE"""),"Blockstack PBC")</f>
        <v>Blockstack PBC</v>
      </c>
      <c r="U225" s="49">
        <f ca="1">COUNTIF('Awesome People List-Master'!D:D,T225)</f>
        <v>1</v>
      </c>
      <c r="X225" s="333" t="s">
        <v>7494</v>
      </c>
      <c r="Y225" s="334">
        <v>1</v>
      </c>
      <c r="AB225" s="169">
        <f>ROUND('Awesome People List-Master'!A222,0)</f>
        <v>43927</v>
      </c>
    </row>
    <row r="226" spans="20:28" ht="13">
      <c r="T226" s="49" t="str">
        <f ca="1">IFERROR(__xludf.DUMMYFUNCTION("""COMPUTED_VALUE"""),"PT Sebangsa Bersama (Sebangsa Network)")</f>
        <v>PT Sebangsa Bersama (Sebangsa Network)</v>
      </c>
      <c r="U226" s="49">
        <f ca="1">COUNTIF('Awesome People List-Master'!D:D,T226)</f>
        <v>1</v>
      </c>
      <c r="X226" s="333" t="s">
        <v>8208</v>
      </c>
      <c r="Y226" s="334">
        <v>1</v>
      </c>
      <c r="AB226" s="169">
        <f>ROUND('Awesome People List-Master'!A223,0)</f>
        <v>43927</v>
      </c>
    </row>
    <row r="227" spans="20:28" ht="13">
      <c r="T227" s="49" t="str">
        <f ca="1">IFERROR(__xludf.DUMMYFUNCTION("""COMPUTED_VALUE"""),"PT Mid Solusi Nusantara (Mekari)")</f>
        <v>PT Mid Solusi Nusantara (Mekari)</v>
      </c>
      <c r="U227" s="49">
        <f ca="1">COUNTIF('Awesome People List-Master'!D:D,T227)</f>
        <v>2</v>
      </c>
      <c r="X227" s="333" t="s">
        <v>7502</v>
      </c>
      <c r="Y227" s="334">
        <v>1</v>
      </c>
      <c r="AB227" s="169">
        <f>ROUND('Awesome People List-Master'!A224,0)</f>
        <v>43927</v>
      </c>
    </row>
    <row r="228" spans="20:28" ht="13">
      <c r="T228" s="49" t="str">
        <f ca="1">IFERROR(__xludf.DUMMYFUNCTION("""COMPUTED_VALUE"""),"Bhineka ciria artana")</f>
        <v>Bhineka ciria artana</v>
      </c>
      <c r="U228" s="49">
        <f ca="1">COUNTIF('Awesome People List-Master'!D:D,T228)</f>
        <v>1</v>
      </c>
      <c r="X228" s="333" t="s">
        <v>8222</v>
      </c>
      <c r="Y228" s="334">
        <v>1</v>
      </c>
      <c r="AB228" s="169">
        <f>ROUND('Awesome People List-Master'!A225,0)</f>
        <v>43927</v>
      </c>
    </row>
    <row r="229" spans="20:28" ht="13">
      <c r="T229" s="49" t="str">
        <f ca="1">IFERROR(__xludf.DUMMYFUNCTION("""COMPUTED_VALUE"""),"OYO Thailand")</f>
        <v>OYO Thailand</v>
      </c>
      <c r="U229" s="49">
        <f ca="1">COUNTIF('Awesome People List-Master'!D:D,T229)</f>
        <v>2</v>
      </c>
      <c r="X229" s="333" t="s">
        <v>7276</v>
      </c>
      <c r="Y229" s="334">
        <v>1</v>
      </c>
      <c r="AB229" s="169">
        <f>ROUND('Awesome People List-Master'!A226,0)</f>
        <v>43927</v>
      </c>
    </row>
    <row r="230" spans="20:28" ht="13">
      <c r="T230" s="49" t="str">
        <f ca="1">IFERROR(__xludf.DUMMYFUNCTION("""COMPUTED_VALUE"""),"Allindive")</f>
        <v>Allindive</v>
      </c>
      <c r="U230" s="49">
        <f ca="1">COUNTIF('Awesome People List-Master'!D:D,T230)</f>
        <v>1</v>
      </c>
      <c r="X230" s="333" t="s">
        <v>8234</v>
      </c>
      <c r="Y230" s="334">
        <v>1</v>
      </c>
      <c r="AB230" s="169">
        <f>ROUND('Awesome People List-Master'!A227,0)</f>
        <v>43927</v>
      </c>
    </row>
    <row r="231" spans="20:28" ht="13">
      <c r="T231" s="49" t="str">
        <f ca="1">IFERROR(__xludf.DUMMYFUNCTION("""COMPUTED_VALUE"""),"PT. Sale Stock Indonesia")</f>
        <v>PT. Sale Stock Indonesia</v>
      </c>
      <c r="U231" s="49">
        <f ca="1">COUNTIF('Awesome People List-Master'!D:D,T231)</f>
        <v>1</v>
      </c>
      <c r="X231" s="333" t="s">
        <v>7511</v>
      </c>
      <c r="Y231" s="334">
        <v>1</v>
      </c>
      <c r="AB231" s="169">
        <f>ROUND('Awesome People List-Master'!A228,0)</f>
        <v>43927</v>
      </c>
    </row>
    <row r="232" spans="20:28" ht="13">
      <c r="T232" s="49" t="str">
        <f ca="1">IFERROR(__xludf.DUMMYFUNCTION("""COMPUTED_VALUE"""),"PT. Media Nusantara Citra Tbk")</f>
        <v>PT. Media Nusantara Citra Tbk</v>
      </c>
      <c r="U232" s="49">
        <f ca="1">COUNTIF('Awesome People List-Master'!D:D,T232)</f>
        <v>1</v>
      </c>
      <c r="X232" s="333" t="s">
        <v>8250</v>
      </c>
      <c r="Y232" s="334">
        <v>1</v>
      </c>
      <c r="AB232" s="169">
        <f>ROUND('Awesome People List-Master'!A229,0)</f>
        <v>43927</v>
      </c>
    </row>
    <row r="233" spans="20:28" ht="13">
      <c r="T233" s="49" t="str">
        <f ca="1">IFERROR(__xludf.DUMMYFUNCTION("""COMPUTED_VALUE"""),"V-Key")</f>
        <v>V-Key</v>
      </c>
      <c r="U233" s="49">
        <f ca="1">COUNTIF('Awesome People List-Master'!D:D,T233)</f>
        <v>1</v>
      </c>
      <c r="X233" s="333" t="s">
        <v>3170</v>
      </c>
      <c r="Y233" s="334">
        <v>1</v>
      </c>
      <c r="AB233" s="169">
        <f>ROUND('Awesome People List-Master'!A230,0)</f>
        <v>43927</v>
      </c>
    </row>
    <row r="234" spans="20:28" ht="13">
      <c r="T234" s="49" t="str">
        <f ca="1">IFERROR(__xludf.DUMMYFUNCTION("""COMPUTED_VALUE"""),"Revinate")</f>
        <v>Revinate</v>
      </c>
      <c r="U234" s="49">
        <f ca="1">COUNTIF('Awesome People List-Master'!D:D,T234)</f>
        <v>1</v>
      </c>
      <c r="X234" s="333" t="s">
        <v>8272</v>
      </c>
      <c r="Y234" s="334">
        <v>1</v>
      </c>
      <c r="AB234" s="169">
        <f>ROUND('Awesome People List-Master'!A231,0)</f>
        <v>43927</v>
      </c>
    </row>
    <row r="235" spans="20:28" ht="13">
      <c r="T235" s="49" t="str">
        <f ca="1">IFERROR(__xludf.DUMMYFUNCTION("""COMPUTED_VALUE"""),"Saleswhale")</f>
        <v>Saleswhale</v>
      </c>
      <c r="U235" s="49">
        <f ca="1">COUNTIF('Awesome People List-Master'!D:D,T235)</f>
        <v>1</v>
      </c>
      <c r="X235" s="333" t="s">
        <v>7523</v>
      </c>
      <c r="Y235" s="334">
        <v>1</v>
      </c>
      <c r="AB235" s="169">
        <f>ROUND('Awesome People List-Master'!A232,0)</f>
        <v>43927</v>
      </c>
    </row>
    <row r="236" spans="20:28" ht="13">
      <c r="T236" s="49" t="str">
        <f ca="1">IFERROR(__xludf.DUMMYFUNCTION("""COMPUTED_VALUE"""),"MAS Holdings")</f>
        <v>MAS Holdings</v>
      </c>
      <c r="U236" s="49">
        <f ca="1">COUNTIF('Awesome People List-Master'!D:D,T236)</f>
        <v>1</v>
      </c>
      <c r="X236" s="333" t="s">
        <v>8290</v>
      </c>
      <c r="Y236" s="334">
        <v>1</v>
      </c>
      <c r="AB236" s="169" t="e">
        <f>ROUND(#REF!,0)</f>
        <v>#REF!</v>
      </c>
    </row>
    <row r="237" spans="20:28" ht="13">
      <c r="T237" s="49" t="str">
        <f ca="1">IFERROR(__xludf.DUMMYFUNCTION("""COMPUTED_VALUE"""),"Massachusetts Daily Collegian")</f>
        <v>Massachusetts Daily Collegian</v>
      </c>
      <c r="U237" s="49">
        <f ca="1">COUNTIF('Awesome People List-Master'!D:D,T237)</f>
        <v>1</v>
      </c>
      <c r="X237" s="333" t="s">
        <v>7529</v>
      </c>
      <c r="Y237" s="334">
        <v>1</v>
      </c>
      <c r="AB237" s="169">
        <f>ROUND('Awesome People List-Master'!A233,0)</f>
        <v>43927</v>
      </c>
    </row>
    <row r="238" spans="20:28" ht="13">
      <c r="T238" s="49" t="str">
        <f ca="1">IFERROR(__xludf.DUMMYFUNCTION("""COMPUTED_VALUE"""),"Jawapos tv Jakarta")</f>
        <v>Jawapos tv Jakarta</v>
      </c>
      <c r="U238" s="49">
        <f ca="1">COUNTIF('Awesome People List-Master'!D:D,T238)</f>
        <v>3</v>
      </c>
      <c r="X238" s="333" t="s">
        <v>8312</v>
      </c>
      <c r="Y238" s="334">
        <v>1</v>
      </c>
      <c r="AB238" s="169">
        <f>ROUND('Awesome People List-Master'!A234,0)</f>
        <v>43927</v>
      </c>
    </row>
    <row r="239" spans="20:28" ht="13">
      <c r="T239" s="49" t="str">
        <f ca="1">IFERROR(__xludf.DUMMYFUNCTION("""COMPUTED_VALUE"""),"Finteix Pte Ltd")</f>
        <v>Finteix Pte Ltd</v>
      </c>
      <c r="U239" s="49">
        <f ca="1">COUNTIF('Awesome People List-Master'!D:D,T239)</f>
        <v>1</v>
      </c>
      <c r="X239" s="333" t="s">
        <v>7539</v>
      </c>
      <c r="Y239" s="334">
        <v>1</v>
      </c>
      <c r="AB239" s="169">
        <f>ROUND('Awesome People List-Master'!A235,0)</f>
        <v>43927</v>
      </c>
    </row>
    <row r="240" spans="20:28" ht="13">
      <c r="T240" s="49" t="str">
        <f ca="1">IFERROR(__xludf.DUMMYFUNCTION("""COMPUTED_VALUE"""),"Hubud: Coworking Space")</f>
        <v>Hubud: Coworking Space</v>
      </c>
      <c r="U240" s="49">
        <f ca="1">COUNTIF('Awesome People List-Master'!D:D,T240)</f>
        <v>2</v>
      </c>
      <c r="X240" s="333" t="s">
        <v>8332</v>
      </c>
      <c r="Y240" s="334">
        <v>1</v>
      </c>
      <c r="AB240" s="169">
        <f>ROUND('Awesome People List-Master'!A236,0)</f>
        <v>43927</v>
      </c>
    </row>
    <row r="241" spans="20:28" ht="13">
      <c r="T241" s="49" t="str">
        <f ca="1">IFERROR(__xludf.DUMMYFUNCTION("""COMPUTED_VALUE"""),"Bappeda NTB")</f>
        <v>Bappeda NTB</v>
      </c>
      <c r="U241" s="49">
        <f ca="1">COUNTIF('Awesome People List-Master'!D:D,T241)</f>
        <v>1</v>
      </c>
      <c r="X241" s="333" t="s">
        <v>7545</v>
      </c>
      <c r="Y241" s="334">
        <v>1</v>
      </c>
      <c r="AB241" s="169">
        <f>ROUND('Awesome People List-Master'!A237,0)</f>
        <v>43927</v>
      </c>
    </row>
    <row r="242" spans="20:28" ht="13">
      <c r="T242" s="49" t="str">
        <f ca="1">IFERROR(__xludf.DUMMYFUNCTION("""COMPUTED_VALUE"""),"PT Paus Skala Teknologi (whee Indonesia)")</f>
        <v>PT Paus Skala Teknologi (whee Indonesia)</v>
      </c>
      <c r="U242" s="49">
        <f ca="1">COUNTIF('Awesome People List-Master'!D:D,T242)</f>
        <v>1</v>
      </c>
      <c r="X242" s="333" t="s">
        <v>8345</v>
      </c>
      <c r="Y242" s="334">
        <v>1</v>
      </c>
      <c r="AB242" s="169">
        <f>ROUND('Awesome People List-Master'!A238,0)</f>
        <v>43927</v>
      </c>
    </row>
    <row r="243" spans="20:28" ht="13">
      <c r="T243" s="49" t="str">
        <f ca="1">IFERROR(__xludf.DUMMYFUNCTION("""COMPUTED_VALUE"""),"Chab Pte Ltd ")</f>
        <v xml:space="preserve">Chab Pte Ltd </v>
      </c>
      <c r="U243" s="49">
        <f ca="1">COUNTIF('Awesome People List-Master'!D:D,T243)</f>
        <v>1</v>
      </c>
      <c r="X243" s="333" t="s">
        <v>7555</v>
      </c>
      <c r="Y243" s="334">
        <v>1</v>
      </c>
      <c r="AB243" s="169">
        <f>ROUND('Awesome People List-Master'!A239,0)</f>
        <v>43927</v>
      </c>
    </row>
    <row r="244" spans="20:28" ht="13">
      <c r="T244" s="49" t="str">
        <f ca="1">IFERROR(__xludf.DUMMYFUNCTION("""COMPUTED_VALUE"""),"Fleischhacker Solution Indonesia")</f>
        <v>Fleischhacker Solution Indonesia</v>
      </c>
      <c r="U244" s="49">
        <f ca="1">COUNTIF('Awesome People List-Master'!D:D,T244)</f>
        <v>1</v>
      </c>
      <c r="X244" s="333" t="s">
        <v>8361</v>
      </c>
      <c r="Y244" s="334">
        <v>1</v>
      </c>
      <c r="AB244" s="169">
        <f>ROUND('Awesome People List-Master'!A240,0)</f>
        <v>43927</v>
      </c>
    </row>
    <row r="245" spans="20:28" ht="13">
      <c r="T245" s="49" t="str">
        <f ca="1">IFERROR(__xludf.DUMMYFUNCTION("""COMPUTED_VALUE"""),"Shuga Pte Ltd ")</f>
        <v xml:space="preserve">Shuga Pte Ltd </v>
      </c>
      <c r="U245" s="49">
        <f ca="1">COUNTIF('Awesome People List-Master'!D:D,T245)</f>
        <v>1</v>
      </c>
      <c r="X245" s="333" t="s">
        <v>7563</v>
      </c>
      <c r="Y245" s="334">
        <v>1</v>
      </c>
      <c r="AB245" s="169">
        <f>ROUND('Awesome People List-Master'!A241,0)</f>
        <v>43927</v>
      </c>
    </row>
    <row r="246" spans="20:28" ht="13">
      <c r="T246" s="49" t="str">
        <f ca="1">IFERROR(__xludf.DUMMYFUNCTION("""COMPUTED_VALUE"""),"NasiBaik")</f>
        <v>NasiBaik</v>
      </c>
      <c r="U246" s="49">
        <f ca="1">COUNTIF('Awesome People List-Master'!D:D,T246)</f>
        <v>1</v>
      </c>
      <c r="X246" s="333" t="s">
        <v>8371</v>
      </c>
      <c r="Y246" s="334">
        <v>1</v>
      </c>
      <c r="AB246" s="169">
        <f>ROUND('Awesome People List-Master'!A242,0)</f>
        <v>43927</v>
      </c>
    </row>
    <row r="247" spans="20:28" ht="13">
      <c r="T247" s="49" t="str">
        <f ca="1">IFERROR(__xludf.DUMMYFUNCTION("""COMPUTED_VALUE"""),"Astra International- Toyota Sales Operation")</f>
        <v>Astra International- Toyota Sales Operation</v>
      </c>
      <c r="U247" s="49">
        <f ca="1">COUNTIF('Awesome People List-Master'!D:D,T247)</f>
        <v>1</v>
      </c>
      <c r="X247" s="333" t="s">
        <v>6777</v>
      </c>
      <c r="Y247" s="334">
        <v>1</v>
      </c>
      <c r="AB247" s="169">
        <f>ROUND('Awesome People List-Master'!A243,0)</f>
        <v>43927</v>
      </c>
    </row>
    <row r="248" spans="20:28" ht="13">
      <c r="T248" s="49" t="str">
        <f ca="1">IFERROR(__xludf.DUMMYFUNCTION("""COMPUTED_VALUE"""),"PT Partner Impian Milenial (Schoters)")</f>
        <v>PT Partner Impian Milenial (Schoters)</v>
      </c>
      <c r="U248" s="49">
        <f ca="1">COUNTIF('Awesome People List-Master'!D:D,T248)</f>
        <v>1</v>
      </c>
      <c r="X248" s="333" t="s">
        <v>8247</v>
      </c>
      <c r="Y248" s="334">
        <v>1</v>
      </c>
      <c r="AB248" s="169">
        <f>ROUND('Awesome People List-Master'!A244,0)</f>
        <v>43927</v>
      </c>
    </row>
    <row r="249" spans="20:28" ht="13">
      <c r="T249" s="49" t="str">
        <f ca="1">IFERROR(__xludf.DUMMYFUNCTION("""COMPUTED_VALUE"""),"HijUp")</f>
        <v>HijUp</v>
      </c>
      <c r="U249" s="49">
        <f ca="1">COUNTIF('Awesome People List-Master'!D:D,T249)</f>
        <v>1</v>
      </c>
      <c r="X249" s="333" t="s">
        <v>7584</v>
      </c>
      <c r="Y249" s="334">
        <v>1</v>
      </c>
      <c r="AB249" s="169">
        <f>ROUND('Awesome People List-Master'!A245,0)</f>
        <v>43927</v>
      </c>
    </row>
    <row r="250" spans="20:28" ht="13">
      <c r="T250" s="49" t="str">
        <f ca="1">IFERROR(__xludf.DUMMYFUNCTION("""COMPUTED_VALUE"""),"QRIM Express")</f>
        <v>QRIM Express</v>
      </c>
      <c r="U250" s="49">
        <f ca="1">COUNTIF('Awesome People List-Master'!D:D,T250)</f>
        <v>1</v>
      </c>
      <c r="X250" s="333" t="s">
        <v>7992</v>
      </c>
      <c r="Y250" s="334">
        <v>1</v>
      </c>
      <c r="AB250" s="169">
        <f>ROUND('Awesome People List-Master'!A246,0)</f>
        <v>43927</v>
      </c>
    </row>
    <row r="251" spans="20:28" ht="13">
      <c r="T251" s="49" t="str">
        <f ca="1">IFERROR(__xludf.DUMMYFUNCTION("""COMPUTED_VALUE"""),"M17 Services")</f>
        <v>M17 Services</v>
      </c>
      <c r="U251" s="49">
        <f ca="1">COUNTIF('Awesome People List-Master'!D:D,T251)</f>
        <v>2</v>
      </c>
      <c r="X251" s="333" t="s">
        <v>7658</v>
      </c>
      <c r="Y251" s="334">
        <v>1</v>
      </c>
      <c r="AB251" s="169">
        <f>ROUND('Awesome People List-Master'!A247,0)</f>
        <v>43927</v>
      </c>
    </row>
    <row r="252" spans="20:28" ht="13">
      <c r="T252" s="49" t="str">
        <f ca="1">IFERROR(__xludf.DUMMYFUNCTION("""COMPUTED_VALUE"""),"Snapcart")</f>
        <v>Snapcart</v>
      </c>
      <c r="U252" s="49">
        <f ca="1">COUNTIF('Awesome People List-Master'!D:D,T252)</f>
        <v>1</v>
      </c>
      <c r="X252" s="333" t="s">
        <v>8412</v>
      </c>
      <c r="Y252" s="334">
        <v>1</v>
      </c>
      <c r="AB252" s="169">
        <f>ROUND('Awesome People List-Master'!A248,0)</f>
        <v>43927</v>
      </c>
    </row>
    <row r="253" spans="20:28" ht="13">
      <c r="T253" s="49" t="str">
        <f ca="1">IFERROR(__xludf.DUMMYFUNCTION("""COMPUTED_VALUE"""),"Clinch Labs")</f>
        <v>Clinch Labs</v>
      </c>
      <c r="U253" s="49">
        <f ca="1">COUNTIF('Awesome People List-Master'!D:D,T253)</f>
        <v>1</v>
      </c>
      <c r="X253" s="333" t="s">
        <v>7673</v>
      </c>
      <c r="Y253" s="334">
        <v>1</v>
      </c>
      <c r="AB253" s="169">
        <f>ROUND('Awesome People List-Master'!A249,0)</f>
        <v>43927</v>
      </c>
    </row>
    <row r="254" spans="20:28" ht="13">
      <c r="T254" s="49" t="str">
        <f ca="1">IFERROR(__xludf.DUMMYFUNCTION("""COMPUTED_VALUE"""),"RefillMyBottle")</f>
        <v>RefillMyBottle</v>
      </c>
      <c r="U254" s="49">
        <f ca="1">COUNTIF('Awesome People List-Master'!D:D,T254)</f>
        <v>1</v>
      </c>
      <c r="X254" s="333" t="s">
        <v>6826</v>
      </c>
      <c r="Y254" s="334">
        <v>1</v>
      </c>
      <c r="AB254" s="169">
        <f>ROUND('Awesome People List-Master'!A250,0)</f>
        <v>43927</v>
      </c>
    </row>
    <row r="255" spans="20:28" ht="13">
      <c r="T255" s="49" t="str">
        <f ca="1">IFERROR(__xludf.DUMMYFUNCTION("""COMPUTED_VALUE"""),"Ecologes Indonesia")</f>
        <v>Ecologes Indonesia</v>
      </c>
      <c r="U255" s="49">
        <f ca="1">COUNTIF('Awesome People List-Master'!D:D,T255)</f>
        <v>1</v>
      </c>
      <c r="X255" s="333" t="s">
        <v>7681</v>
      </c>
      <c r="Y255" s="334">
        <v>1</v>
      </c>
      <c r="AB255" s="169">
        <f>ROUND('Awesome People List-Master'!A251,0)</f>
        <v>43927</v>
      </c>
    </row>
    <row r="256" spans="20:28" ht="13">
      <c r="T256" s="49" t="str">
        <f ca="1">IFERROR(__xludf.DUMMYFUNCTION("""COMPUTED_VALUE"""),"Salka Whale Watching")</f>
        <v>Salka Whale Watching</v>
      </c>
      <c r="U256" s="49">
        <f ca="1">COUNTIF('Awesome People List-Master'!D:D,T256)</f>
        <v>1</v>
      </c>
      <c r="X256" s="333" t="s">
        <v>8436</v>
      </c>
      <c r="Y256" s="334">
        <v>1</v>
      </c>
      <c r="AB256" s="169">
        <f>ROUND('Awesome People List-Master'!A252,0)</f>
        <v>43927</v>
      </c>
    </row>
    <row r="257" spans="20:28" ht="13">
      <c r="T257" s="49" t="str">
        <f ca="1">IFERROR(__xludf.DUMMYFUNCTION("""COMPUTED_VALUE"""),"SkyMaker Technology Solutions")</f>
        <v>SkyMaker Technology Solutions</v>
      </c>
      <c r="U257" s="49">
        <f ca="1">COUNTIF('Awesome People List-Master'!D:D,T257)</f>
        <v>1</v>
      </c>
      <c r="X257" s="333" t="s">
        <v>7690</v>
      </c>
      <c r="Y257" s="334">
        <v>1</v>
      </c>
      <c r="AB257" s="169">
        <f>ROUND('Awesome People List-Master'!A253,0)</f>
        <v>43927</v>
      </c>
    </row>
    <row r="258" spans="20:28" ht="13">
      <c r="T258" s="49" t="str">
        <f ca="1">IFERROR(__xludf.DUMMYFUNCTION("""COMPUTED_VALUE"""),"Natural Instinct Healing")</f>
        <v>Natural Instinct Healing</v>
      </c>
      <c r="U258" s="49">
        <f ca="1">COUNTIF('Awesome People List-Master'!D:D,T258)</f>
        <v>1</v>
      </c>
      <c r="X258" s="333" t="s">
        <v>7411</v>
      </c>
      <c r="Y258" s="334">
        <v>1</v>
      </c>
      <c r="AB258" s="169">
        <f>ROUND('Awesome People List-Master'!A254,0)</f>
        <v>43927</v>
      </c>
    </row>
    <row r="259" spans="20:28" ht="13">
      <c r="T259" s="49" t="str">
        <f ca="1">IFERROR(__xludf.DUMMYFUNCTION("""COMPUTED_VALUE"""),"Abata Citra Solusi")</f>
        <v>Abata Citra Solusi</v>
      </c>
      <c r="U259" s="49">
        <f ca="1">COUNTIF('Awesome People List-Master'!D:D,T259)</f>
        <v>1</v>
      </c>
      <c r="X259" s="333" t="s">
        <v>7711</v>
      </c>
      <c r="Y259" s="334">
        <v>1</v>
      </c>
      <c r="AB259" s="169">
        <f>ROUND('Awesome People List-Master'!A255,0)</f>
        <v>43927</v>
      </c>
    </row>
    <row r="260" spans="20:28" ht="13">
      <c r="T260" s="49" t="str">
        <f ca="1">IFERROR(__xludf.DUMMYFUNCTION("""COMPUTED_VALUE"""),"PT. Sumber Kreatif Indonesia")</f>
        <v>PT. Sumber Kreatif Indonesia</v>
      </c>
      <c r="U260" s="49">
        <f ca="1">COUNTIF('Awesome People List-Master'!D:D,T260)</f>
        <v>1</v>
      </c>
      <c r="X260" s="333" t="s">
        <v>7823</v>
      </c>
      <c r="Y260" s="334">
        <v>1</v>
      </c>
      <c r="AB260" s="169">
        <f>ROUND('Awesome People List-Master'!A256,0)</f>
        <v>43927</v>
      </c>
    </row>
    <row r="261" spans="20:28" ht="13">
      <c r="T261" s="49" t="str">
        <f ca="1">IFERROR(__xludf.DUMMYFUNCTION("""COMPUTED_VALUE"""),"Local Realestat Company")</f>
        <v>Local Realestat Company</v>
      </c>
      <c r="U261" s="49">
        <f ca="1">COUNTIF('Awesome People List-Master'!D:D,T261)</f>
        <v>1</v>
      </c>
      <c r="X261" s="333" t="s">
        <v>7715</v>
      </c>
      <c r="Y261" s="334">
        <v>1</v>
      </c>
      <c r="AB261" s="169">
        <f>ROUND('Awesome People List-Master'!A257,0)</f>
        <v>43927</v>
      </c>
    </row>
    <row r="262" spans="20:28" ht="13">
      <c r="T262" s="49" t="str">
        <f ca="1">IFERROR(__xludf.DUMMYFUNCTION("""COMPUTED_VALUE"""),"Fintech")</f>
        <v>Fintech</v>
      </c>
      <c r="U262" s="49">
        <f ca="1">COUNTIF('Awesome People List-Master'!D:D,T262)</f>
        <v>1</v>
      </c>
      <c r="X262" s="333" t="s">
        <v>8317</v>
      </c>
      <c r="Y262" s="334">
        <v>1</v>
      </c>
      <c r="AB262" s="169">
        <f>ROUND('Awesome People List-Master'!A258,0)</f>
        <v>43928</v>
      </c>
    </row>
    <row r="263" spans="20:28" ht="13">
      <c r="T263" s="49" t="str">
        <f ca="1">IFERROR(__xludf.DUMMYFUNCTION("""COMPUTED_VALUE"""),"Freelance")</f>
        <v>Freelance</v>
      </c>
      <c r="U263" s="49">
        <f ca="1">COUNTIF('Awesome People List-Master'!D:D,T263)</f>
        <v>1</v>
      </c>
      <c r="X263" s="333" t="s">
        <v>7740</v>
      </c>
      <c r="Y263" s="334">
        <v>1</v>
      </c>
      <c r="AB263" s="169">
        <f>ROUND('Awesome People List-Master'!A259,0)</f>
        <v>43928</v>
      </c>
    </row>
    <row r="264" spans="20:28" ht="13">
      <c r="T264" s="49" t="str">
        <f ca="1">IFERROR(__xludf.DUMMYFUNCTION("""COMPUTED_VALUE"""),"foodspot")</f>
        <v>foodspot</v>
      </c>
      <c r="U264" s="49">
        <f ca="1">COUNTIF('Awesome People List-Master'!D:D,T264)</f>
        <v>1</v>
      </c>
      <c r="X264" s="333" t="s">
        <v>8530</v>
      </c>
      <c r="Y264" s="334">
        <v>1</v>
      </c>
      <c r="AB264" s="169">
        <f>ROUND('Awesome People List-Master'!A260,0)</f>
        <v>43928</v>
      </c>
    </row>
    <row r="265" spans="20:28" ht="13">
      <c r="T265" s="49" t="str">
        <f ca="1">IFERROR(__xludf.DUMMYFUNCTION("""COMPUTED_VALUE"""),"Unsircle")</f>
        <v>Unsircle</v>
      </c>
      <c r="U265" s="49">
        <f ca="1">COUNTIF('Awesome People List-Master'!D:D,T265)</f>
        <v>1</v>
      </c>
      <c r="X265" s="333" t="s">
        <v>6791</v>
      </c>
      <c r="Y265" s="334">
        <v>1</v>
      </c>
      <c r="AB265" s="169">
        <f>ROUND('Awesome People List-Master'!A261,0)</f>
        <v>43928</v>
      </c>
    </row>
    <row r="266" spans="20:28" ht="13">
      <c r="T266" s="49" t="str">
        <f ca="1">IFERROR(__xludf.DUMMYFUNCTION("""COMPUTED_VALUE"""),"Bersatu Sukses Group ")</f>
        <v xml:space="preserve">Bersatu Sukses Group </v>
      </c>
      <c r="U266" s="49">
        <f ca="1">COUNTIF('Awesome People List-Master'!D:D,T266)</f>
        <v>1</v>
      </c>
      <c r="X266" s="333" t="s">
        <v>8546</v>
      </c>
      <c r="Y266" s="334">
        <v>1</v>
      </c>
      <c r="AB266" s="169">
        <f>ROUND('Awesome People List-Master'!A262,0)</f>
        <v>43928</v>
      </c>
    </row>
    <row r="267" spans="20:28" ht="13">
      <c r="T267" s="49" t="str">
        <f ca="1">IFERROR(__xludf.DUMMYFUNCTION("""COMPUTED_VALUE"""),"wg group")</f>
        <v>wg group</v>
      </c>
      <c r="U267" s="49">
        <f ca="1">COUNTIF('Awesome People List-Master'!D:D,T267)</f>
        <v>1</v>
      </c>
      <c r="X267" s="333" t="s">
        <v>6806</v>
      </c>
      <c r="Y267" s="334">
        <v>1</v>
      </c>
      <c r="AB267" s="169">
        <f>ROUND('Awesome People List-Master'!A263,0)</f>
        <v>43928</v>
      </c>
    </row>
    <row r="268" spans="20:28" ht="13">
      <c r="T268" s="56" t="str">
        <f ca="1">IFERROR(__xludf.DUMMYFUNCTION("""COMPUTED_VALUE"""),"Helptheworld.io")</f>
        <v>Helptheworld.io</v>
      </c>
      <c r="U268" s="49">
        <f ca="1">COUNTIF('Awesome People List-Master'!D:D,T268)</f>
        <v>1</v>
      </c>
      <c r="X268" s="333" t="s">
        <v>8561</v>
      </c>
      <c r="Y268" s="334">
        <v>1</v>
      </c>
      <c r="AB268" s="169">
        <f>ROUND('Awesome People List-Master'!A264,0)</f>
        <v>43928</v>
      </c>
    </row>
    <row r="269" spans="20:28" ht="13">
      <c r="T269" s="49" t="str">
        <f ca="1">IFERROR(__xludf.DUMMYFUNCTION("""COMPUTED_VALUE"""),"NatWest Markets")</f>
        <v>NatWest Markets</v>
      </c>
      <c r="U269" s="49">
        <f ca="1">COUNTIF('Awesome People List-Master'!D:D,T269)</f>
        <v>1</v>
      </c>
      <c r="X269" s="333" t="s">
        <v>7780</v>
      </c>
      <c r="Y269" s="334">
        <v>1</v>
      </c>
      <c r="AB269" s="169">
        <f>ROUND('Awesome People List-Master'!A265,0)</f>
        <v>43928</v>
      </c>
    </row>
    <row r="270" spans="20:28" ht="13">
      <c r="T270" s="49" t="str">
        <f ca="1">IFERROR(__xludf.DUMMYFUNCTION("""COMPUTED_VALUE"""),"Babel Pte Ltd")</f>
        <v>Babel Pte Ltd</v>
      </c>
      <c r="U270" s="49">
        <f ca="1">COUNTIF('Awesome People List-Master'!D:D,T270)</f>
        <v>1</v>
      </c>
      <c r="X270" s="333" t="s">
        <v>7557</v>
      </c>
      <c r="Y270" s="334">
        <v>1</v>
      </c>
      <c r="AB270" s="169">
        <f>ROUND('Awesome People List-Master'!A266,0)</f>
        <v>43928</v>
      </c>
    </row>
    <row r="271" spans="20:28" ht="13">
      <c r="T271" s="49" t="str">
        <f ca="1">IFERROR(__xludf.DUMMYFUNCTION("""COMPUTED_VALUE"""),"ZUZU Hospitality")</f>
        <v>ZUZU Hospitality</v>
      </c>
      <c r="U271" s="49">
        <f ca="1">COUNTIF('Awesome People List-Master'!D:D,T271)</f>
        <v>10</v>
      </c>
      <c r="X271" s="333" t="s">
        <v>7795</v>
      </c>
      <c r="Y271" s="334">
        <v>1</v>
      </c>
      <c r="AB271" s="169" t="e">
        <f>ROUND(#REF!,0)</f>
        <v>#REF!</v>
      </c>
    </row>
    <row r="272" spans="20:28" ht="13">
      <c r="T272" s="49" t="str">
        <f ca="1">IFERROR(__xludf.DUMMYFUNCTION("""COMPUTED_VALUE"""),"DigitalAPICraft")</f>
        <v>DigitalAPICraft</v>
      </c>
      <c r="U272" s="49">
        <f ca="1">COUNTIF('Awesome People List-Master'!D:D,T272)</f>
        <v>1</v>
      </c>
      <c r="X272" s="333" t="s">
        <v>8593</v>
      </c>
      <c r="Y272" s="334">
        <v>1</v>
      </c>
      <c r="AB272" s="169">
        <f>ROUND('Awesome People List-Master'!A267,0)</f>
        <v>43928</v>
      </c>
    </row>
    <row r="273" spans="20:28" ht="13">
      <c r="T273" s="49" t="str">
        <f ca="1">IFERROR(__xludf.DUMMYFUNCTION("""COMPUTED_VALUE"""),"Kinniku Studio")</f>
        <v>Kinniku Studio</v>
      </c>
      <c r="U273" s="49">
        <f ca="1">COUNTIF('Awesome People List-Master'!D:D,T273)</f>
        <v>1</v>
      </c>
      <c r="X273" s="333" t="s">
        <v>7808</v>
      </c>
      <c r="Y273" s="334">
        <v>1</v>
      </c>
      <c r="AB273" s="169">
        <f>ROUND('Awesome People List-Master'!A268,0)</f>
        <v>43928</v>
      </c>
    </row>
    <row r="274" spans="20:28" ht="13">
      <c r="T274" s="49" t="str">
        <f ca="1">IFERROR(__xludf.DUMMYFUNCTION("""COMPUTED_VALUE"""),"PT Raksasa Laju Lintang (Ralali.com)")</f>
        <v>PT Raksasa Laju Lintang (Ralali.com)</v>
      </c>
      <c r="U274" s="49">
        <f ca="1">COUNTIF('Awesome People List-Master'!D:D,T274)</f>
        <v>1</v>
      </c>
      <c r="X274" s="333" t="s">
        <v>8611</v>
      </c>
      <c r="Y274" s="334">
        <v>1</v>
      </c>
      <c r="AB274" s="169">
        <f>ROUND('Awesome People List-Master'!A269,0)</f>
        <v>43928</v>
      </c>
    </row>
    <row r="275" spans="20:28" ht="13">
      <c r="T275" s="49" t="str">
        <f ca="1">IFERROR(__xludf.DUMMYFUNCTION("""COMPUTED_VALUE"""),"GPJ")</f>
        <v>GPJ</v>
      </c>
      <c r="U275" s="49">
        <f ca="1">COUNTIF('Awesome People List-Master'!D:D,T275)</f>
        <v>1</v>
      </c>
      <c r="X275" s="333" t="s">
        <v>7821</v>
      </c>
      <c r="Y275" s="334">
        <v>1</v>
      </c>
      <c r="AB275" s="169">
        <f>ROUND('Awesome People List-Master'!A270,0)</f>
        <v>43928</v>
      </c>
    </row>
    <row r="276" spans="20:28" ht="13">
      <c r="T276" s="49" t="str">
        <f ca="1">IFERROR(__xludf.DUMMYFUNCTION("""COMPUTED_VALUE"""),"Investree")</f>
        <v>Investree</v>
      </c>
      <c r="U276" s="49">
        <f ca="1">COUNTIF('Awesome People List-Master'!D:D,T276)</f>
        <v>2</v>
      </c>
      <c r="X276" s="333" t="s">
        <v>8526</v>
      </c>
      <c r="Y276" s="334">
        <v>1</v>
      </c>
      <c r="AB276" s="169">
        <f>ROUND('Awesome People List-Master'!A271,0)</f>
        <v>43928</v>
      </c>
    </row>
    <row r="277" spans="20:28" ht="13">
      <c r="T277" s="49" t="str">
        <f ca="1">IFERROR(__xludf.DUMMYFUNCTION("""COMPUTED_VALUE"""),"Prioriti Pte. Ltd")</f>
        <v>Prioriti Pte. Ltd</v>
      </c>
      <c r="U277" s="49">
        <f ca="1">COUNTIF('Awesome People List-Master'!D:D,T277)</f>
        <v>1</v>
      </c>
      <c r="X277" s="333" t="s">
        <v>8727</v>
      </c>
      <c r="Y277" s="334">
        <v>1</v>
      </c>
      <c r="AB277" s="169">
        <f>ROUND('Awesome People List-Master'!A272,0)</f>
        <v>43928</v>
      </c>
    </row>
    <row r="278" spans="20:28" ht="13">
      <c r="T278" s="49" t="str">
        <f ca="1">IFERROR(__xludf.DUMMYFUNCTION("""COMPUTED_VALUE"""),"Meridin Properties")</f>
        <v>Meridin Properties</v>
      </c>
      <c r="U278" s="49">
        <f ca="1">COUNTIF('Awesome People List-Master'!D:D,T278)</f>
        <v>1</v>
      </c>
      <c r="X278" s="333" t="s">
        <v>8145</v>
      </c>
      <c r="Y278" s="334">
        <v>1</v>
      </c>
      <c r="AB278" s="169">
        <f>ROUND('Awesome People List-Master'!A273,0)</f>
        <v>43928</v>
      </c>
    </row>
    <row r="279" spans="20:28" ht="13">
      <c r="T279" s="49" t="str">
        <f ca="1">IFERROR(__xludf.DUMMYFUNCTION("""COMPUTED_VALUE"""),"TYSM Indonesia")</f>
        <v>TYSM Indonesia</v>
      </c>
      <c r="U279" s="49">
        <f ca="1">COUNTIF('Awesome People List-Master'!D:D,T279)</f>
        <v>1</v>
      </c>
      <c r="X279" s="333" t="s">
        <v>8740</v>
      </c>
      <c r="Y279" s="334">
        <v>1</v>
      </c>
      <c r="AB279" s="169">
        <f>ROUND('Awesome People List-Master'!A274,0)</f>
        <v>43928</v>
      </c>
    </row>
    <row r="280" spans="20:28" ht="13">
      <c r="T280" s="49" t="str">
        <f ca="1">IFERROR(__xludf.DUMMYFUNCTION("""COMPUTED_VALUE"""),"PT EKRUT TEKNOLOGI PASIFIK")</f>
        <v>PT EKRUT TEKNOLOGI PASIFIK</v>
      </c>
      <c r="U280" s="49">
        <f ca="1">COUNTIF('Awesome People List-Master'!D:D,T280)</f>
        <v>1</v>
      </c>
      <c r="X280" s="333" t="s">
        <v>8654</v>
      </c>
      <c r="Y280" s="334">
        <v>1</v>
      </c>
      <c r="AB280" s="169">
        <f>ROUND('Awesome People List-Master'!A275,0)</f>
        <v>43928</v>
      </c>
    </row>
    <row r="281" spans="20:28" ht="13">
      <c r="T281" s="49" t="str">
        <f ca="1">IFERROR(__xludf.DUMMYFUNCTION("""COMPUTED_VALUE"""),"PT. Sandabi Indah Lestari")</f>
        <v>PT. Sandabi Indah Lestari</v>
      </c>
      <c r="U281" s="49">
        <f ca="1">COUNTIF('Awesome People List-Master'!D:D,T281)</f>
        <v>1</v>
      </c>
      <c r="X281" s="333" t="s">
        <v>6813</v>
      </c>
      <c r="Y281" s="334">
        <v>1</v>
      </c>
      <c r="AB281" s="169">
        <f>ROUND('Awesome People List-Master'!A276,0)</f>
        <v>43928</v>
      </c>
    </row>
    <row r="282" spans="20:28" ht="13">
      <c r="T282" s="49" t="str">
        <f ca="1">IFERROR(__xludf.DUMMYFUNCTION("""COMPUTED_VALUE"""),"Bareksa Prioritas")</f>
        <v>Bareksa Prioritas</v>
      </c>
      <c r="U282" s="49">
        <f ca="1">COUNTIF('Awesome People List-Master'!D:D,T282)</f>
        <v>1</v>
      </c>
      <c r="X282" s="333" t="s">
        <v>8668</v>
      </c>
      <c r="Y282" s="334">
        <v>1</v>
      </c>
      <c r="AB282" s="169">
        <f>ROUND('Awesome People List-Master'!A277,0)</f>
        <v>43928</v>
      </c>
    </row>
    <row r="283" spans="20:28" ht="13">
      <c r="T283" s="49" t="str">
        <f ca="1">IFERROR(__xludf.DUMMYFUNCTION("""COMPUTED_VALUE"""),"Jobworks ")</f>
        <v xml:space="preserve">Jobworks </v>
      </c>
      <c r="U283" s="49">
        <f ca="1">COUNTIF('Awesome People List-Master'!D:D,T283)</f>
        <v>1</v>
      </c>
      <c r="X283" s="333" t="s">
        <v>8795</v>
      </c>
      <c r="Y283" s="334">
        <v>1</v>
      </c>
      <c r="AB283" s="169">
        <f>ROUND('Awesome People List-Master'!A278,0)</f>
        <v>43928</v>
      </c>
    </row>
    <row r="284" spans="20:28" ht="13">
      <c r="T284" s="49" t="str">
        <f ca="1">IFERROR(__xludf.DUMMYFUNCTION("""COMPUTED_VALUE"""),"Challenger Inc.")</f>
        <v>Challenger Inc.</v>
      </c>
      <c r="U284" s="49">
        <f ca="1">COUNTIF('Awesome People List-Master'!D:D,T284)</f>
        <v>1</v>
      </c>
      <c r="X284" s="333" t="s">
        <v>8685</v>
      </c>
      <c r="Y284" s="334">
        <v>1</v>
      </c>
      <c r="AB284" s="169">
        <f>ROUND('Awesome People List-Master'!A279,0)</f>
        <v>43928</v>
      </c>
    </row>
    <row r="285" spans="20:28" ht="13">
      <c r="T285" s="49" t="str">
        <f ca="1">IFERROR(__xludf.DUMMYFUNCTION("""COMPUTED_VALUE"""),"ZEN Rooms")</f>
        <v>ZEN Rooms</v>
      </c>
      <c r="U285" s="49">
        <f ca="1">COUNTIF('Awesome People List-Master'!D:D,T285)</f>
        <v>1</v>
      </c>
      <c r="X285" s="333" t="s">
        <v>8809</v>
      </c>
      <c r="Y285" s="334">
        <v>1</v>
      </c>
      <c r="AB285" s="169">
        <f>ROUND('Awesome People List-Master'!A280,0)</f>
        <v>43928</v>
      </c>
    </row>
    <row r="286" spans="20:28" ht="13">
      <c r="T286" s="49" t="str">
        <f ca="1">IFERROR(__xludf.DUMMYFUNCTION("""COMPUTED_VALUE"""),"Moon Rabbit")</f>
        <v>Moon Rabbit</v>
      </c>
      <c r="U286" s="49">
        <f ca="1">COUNTIF('Awesome People List-Master'!D:D,T286)</f>
        <v>1</v>
      </c>
      <c r="X286" s="333" t="s">
        <v>8698</v>
      </c>
      <c r="Y286" s="334">
        <v>1</v>
      </c>
      <c r="AB286" s="169">
        <f>ROUND('Awesome People List-Master'!A281,0)</f>
        <v>43928</v>
      </c>
    </row>
    <row r="287" spans="20:28" ht="13">
      <c r="T287" s="49" t="str">
        <f ca="1">IFERROR(__xludf.DUMMYFUNCTION("""COMPUTED_VALUE"""),"HJ Production Asia")</f>
        <v>HJ Production Asia</v>
      </c>
      <c r="U287" s="49">
        <f ca="1">COUNTIF('Awesome People List-Master'!D:D,T287)</f>
        <v>1</v>
      </c>
      <c r="X287" s="333" t="s">
        <v>8826</v>
      </c>
      <c r="Y287" s="334">
        <v>1</v>
      </c>
      <c r="AB287" s="169">
        <f>ROUND('Awesome People List-Master'!A282,0)</f>
        <v>43928</v>
      </c>
    </row>
    <row r="288" spans="20:28" ht="13">
      <c r="T288" s="49" t="str">
        <f ca="1">IFERROR(__xludf.DUMMYFUNCTION("""COMPUTED_VALUE"""),"SC Ventures")</f>
        <v>SC Ventures</v>
      </c>
      <c r="U288" s="49">
        <f ca="1">COUNTIF('Awesome People List-Master'!D:D,T288)</f>
        <v>1</v>
      </c>
      <c r="X288" s="333" t="s">
        <v>6843</v>
      </c>
      <c r="Y288" s="334">
        <v>1</v>
      </c>
      <c r="AB288" s="169">
        <f>ROUND('Awesome People List-Master'!A283,0)</f>
        <v>43928</v>
      </c>
    </row>
    <row r="289" spans="20:28" ht="13">
      <c r="T289" s="49" t="str">
        <f ca="1">IFERROR(__xludf.DUMMYFUNCTION("""COMPUTED_VALUE"""),"Bizzy")</f>
        <v>Bizzy</v>
      </c>
      <c r="U289" s="49">
        <f ca="1">COUNTIF('Awesome People List-Master'!D:D,T289)</f>
        <v>1</v>
      </c>
      <c r="X289" s="333" t="s">
        <v>8837</v>
      </c>
      <c r="Y289" s="334">
        <v>1</v>
      </c>
      <c r="AB289" s="169">
        <f>ROUND('Awesome People List-Master'!A284,0)</f>
        <v>43928</v>
      </c>
    </row>
    <row r="290" spans="20:28" ht="13">
      <c r="T290" s="49" t="str">
        <f ca="1">IFERROR(__xludf.DUMMYFUNCTION("""COMPUTED_VALUE"""),"Nodeflux")</f>
        <v>Nodeflux</v>
      </c>
      <c r="U290" s="49">
        <f ca="1">COUNTIF('Awesome People List-Master'!D:D,T290)</f>
        <v>7</v>
      </c>
      <c r="X290" s="333" t="s">
        <v>7831</v>
      </c>
      <c r="Y290" s="334">
        <v>1</v>
      </c>
      <c r="AB290" s="169">
        <f>ROUND('Awesome People List-Master'!A285,0)</f>
        <v>43928</v>
      </c>
    </row>
    <row r="291" spans="20:28" ht="13">
      <c r="T291" s="49" t="str">
        <f ca="1">IFERROR(__xludf.DUMMYFUNCTION("""COMPUTED_VALUE"""),"Iris Worldwide")</f>
        <v>Iris Worldwide</v>
      </c>
      <c r="U291" s="49">
        <f ca="1">COUNTIF('Awesome People List-Master'!D:D,T291)</f>
        <v>1</v>
      </c>
      <c r="X291" s="333" t="s">
        <v>8745</v>
      </c>
      <c r="Y291" s="334">
        <v>1</v>
      </c>
      <c r="AB291" s="169">
        <f>ROUND('Awesome People List-Master'!A286,0)</f>
        <v>43928</v>
      </c>
    </row>
    <row r="292" spans="20:28" ht="13">
      <c r="T292" s="49" t="str">
        <f ca="1">IFERROR(__xludf.DUMMYFUNCTION("""COMPUTED_VALUE"""),"RISE")</f>
        <v>RISE</v>
      </c>
      <c r="U292" s="49">
        <f ca="1">COUNTIF('Awesome People List-Master'!D:D,T292)</f>
        <v>1</v>
      </c>
      <c r="X292" s="333" t="s">
        <v>7845</v>
      </c>
      <c r="Y292" s="334">
        <v>1</v>
      </c>
      <c r="AB292" s="169">
        <f>ROUND('Awesome People List-Master'!A287,0)</f>
        <v>43928</v>
      </c>
    </row>
    <row r="293" spans="20:28" ht="13">
      <c r="T293" s="49" t="str">
        <f ca="1">IFERROR(__xludf.DUMMYFUNCTION("""COMPUTED_VALUE"""),"MAM EO Jakarta")</f>
        <v>MAM EO Jakarta</v>
      </c>
      <c r="U293" s="49">
        <f ca="1">COUNTIF('Awesome People List-Master'!D:D,T293)</f>
        <v>1</v>
      </c>
      <c r="X293" s="333" t="s">
        <v>7625</v>
      </c>
      <c r="Y293" s="334">
        <v>1</v>
      </c>
      <c r="AB293" s="169">
        <f>ROUND('Awesome People List-Master'!A288,0)</f>
        <v>43928</v>
      </c>
    </row>
    <row r="294" spans="20:28" ht="13">
      <c r="T294" s="49" t="str">
        <f ca="1">IFERROR(__xludf.DUMMYFUNCTION("""COMPUTED_VALUE"""),"PT Mata Laba Laba (custom.com.hk/dokter.my)")</f>
        <v>PT Mata Laba Laba (custom.com.hk/dokter.my)</v>
      </c>
      <c r="U294" s="49">
        <f ca="1">COUNTIF('Awesome People List-Master'!D:D,T294)</f>
        <v>1</v>
      </c>
      <c r="X294" s="333" t="s">
        <v>7851</v>
      </c>
      <c r="Y294" s="334">
        <v>1</v>
      </c>
      <c r="AB294" s="169">
        <f>ROUND('Awesome People List-Master'!A289,0)</f>
        <v>43928</v>
      </c>
    </row>
    <row r="295" spans="20:28" ht="13">
      <c r="T295" s="49" t="str">
        <f ca="1">IFERROR(__xludf.DUMMYFUNCTION("""COMPUTED_VALUE"""),"Julius Baer &amp; Co Ltd Singapore ")</f>
        <v xml:space="preserve">Julius Baer &amp; Co Ltd Singapore </v>
      </c>
      <c r="U295" s="49">
        <f ca="1">COUNTIF('Awesome People List-Master'!D:D,T295)</f>
        <v>1</v>
      </c>
      <c r="X295" s="333" t="s">
        <v>8802</v>
      </c>
      <c r="Y295" s="334">
        <v>1</v>
      </c>
      <c r="AB295" s="169">
        <f>ROUND('Awesome People List-Master'!A290,0)</f>
        <v>43928</v>
      </c>
    </row>
    <row r="296" spans="20:28" ht="13">
      <c r="T296" s="49" t="str">
        <f ca="1">IFERROR(__xludf.DUMMYFUNCTION("""COMPUTED_VALUE"""),"WhatAdver Media")</f>
        <v>WhatAdver Media</v>
      </c>
      <c r="U296" s="49">
        <f ca="1">COUNTIF('Awesome People List-Master'!D:D,T296)</f>
        <v>1</v>
      </c>
      <c r="X296" s="333" t="s">
        <v>7857</v>
      </c>
      <c r="Y296" s="334">
        <v>1</v>
      </c>
      <c r="AB296" s="169">
        <f>ROUND('Awesome People List-Master'!A291,0)</f>
        <v>43928</v>
      </c>
    </row>
    <row r="297" spans="20:28" ht="13">
      <c r="T297" s="49" t="str">
        <f ca="1">IFERROR(__xludf.DUMMYFUNCTION("""COMPUTED_VALUE"""),"Seekify pte ltd(Sequoia backed) ")</f>
        <v xml:space="preserve">Seekify pte ltd(Sequoia backed) </v>
      </c>
      <c r="U297" s="49">
        <f ca="1">COUNTIF('Awesome People List-Master'!D:D,T297)</f>
        <v>1</v>
      </c>
      <c r="X297" s="333" t="s">
        <v>8816</v>
      </c>
      <c r="Y297" s="334">
        <v>1</v>
      </c>
      <c r="AB297" s="169">
        <f>ROUND('Awesome People List-Master'!A292,0)</f>
        <v>43928</v>
      </c>
    </row>
    <row r="298" spans="20:28" ht="13">
      <c r="T298" s="49" t="str">
        <f ca="1">IFERROR(__xludf.DUMMYFUNCTION("""COMPUTED_VALUE"""),"Seekify Pte Ltd")</f>
        <v>Seekify Pte Ltd</v>
      </c>
      <c r="U298" s="49">
        <f ca="1">COUNTIF('Awesome People List-Master'!D:D,T298)</f>
        <v>5</v>
      </c>
      <c r="X298" s="333" t="s">
        <v>7859</v>
      </c>
      <c r="Y298" s="334">
        <v>1</v>
      </c>
      <c r="AB298" s="169">
        <f>ROUND('Awesome People List-Master'!A293,0)</f>
        <v>43928</v>
      </c>
    </row>
    <row r="299" spans="20:28" ht="13">
      <c r="T299" s="49" t="str">
        <f ca="1">IFERROR(__xludf.DUMMYFUNCTION("""COMPUTED_VALUE"""),"Fyde Inc")</f>
        <v>Fyde Inc</v>
      </c>
      <c r="U299" s="49">
        <f ca="1">COUNTIF('Awesome People List-Master'!D:D,T299)</f>
        <v>1</v>
      </c>
      <c r="X299" s="333" t="s">
        <v>8832</v>
      </c>
      <c r="Y299" s="334">
        <v>1</v>
      </c>
      <c r="AB299" s="169">
        <f>ROUND('Awesome People List-Master'!A294,0)</f>
        <v>43928</v>
      </c>
    </row>
    <row r="300" spans="20:28" ht="13">
      <c r="T300" s="49" t="str">
        <f ca="1">IFERROR(__xludf.DUMMYFUNCTION("""COMPUTED_VALUE"""),"Digitaraya")</f>
        <v>Digitaraya</v>
      </c>
      <c r="U300" s="49">
        <f ca="1">COUNTIF('Awesome People List-Master'!D:D,T300)</f>
        <v>1</v>
      </c>
      <c r="X300" s="333" t="s">
        <v>7875</v>
      </c>
      <c r="Y300" s="334">
        <v>1</v>
      </c>
      <c r="AB300" s="169">
        <f>ROUND('Awesome People List-Master'!A295,0)</f>
        <v>43928</v>
      </c>
    </row>
    <row r="301" spans="20:28" ht="13">
      <c r="T301" s="49" t="str">
        <f ca="1">IFERROR(__xludf.DUMMYFUNCTION("""COMPUTED_VALUE"""),"Stats Perform")</f>
        <v>Stats Perform</v>
      </c>
      <c r="U301" s="49">
        <f ca="1">COUNTIF('Awesome People List-Master'!D:D,T301)</f>
        <v>1</v>
      </c>
      <c r="X301" s="333" t="s">
        <v>8846</v>
      </c>
      <c r="Y301" s="334">
        <v>1</v>
      </c>
      <c r="AB301" s="169">
        <f>ROUND('Awesome People List-Master'!A296,0)</f>
        <v>43928</v>
      </c>
    </row>
    <row r="302" spans="20:28" ht="13">
      <c r="T302" s="49" t="str">
        <f ca="1">IFERROR(__xludf.DUMMYFUNCTION("""COMPUTED_VALUE"""),"Capillary Technologies")</f>
        <v>Capillary Technologies</v>
      </c>
      <c r="U302" s="49">
        <f ca="1">COUNTIF('Awesome People List-Master'!D:D,T302)</f>
        <v>1</v>
      </c>
      <c r="X302" s="333" t="s">
        <v>7884</v>
      </c>
      <c r="Y302" s="334">
        <v>1</v>
      </c>
      <c r="AB302" s="169">
        <f>ROUND('Awesome People List-Master'!A297,0)</f>
        <v>43928</v>
      </c>
    </row>
    <row r="303" spans="20:28" ht="13">
      <c r="T303" s="49" t="str">
        <f ca="1">IFERROR(__xludf.DUMMYFUNCTION("""COMPUTED_VALUE"""),"Bitread Publishing")</f>
        <v>Bitread Publishing</v>
      </c>
      <c r="U303" s="49">
        <f ca="1">COUNTIF('Awesome People List-Master'!D:D,T303)</f>
        <v>1</v>
      </c>
      <c r="X303" s="333" t="s">
        <v>8859</v>
      </c>
      <c r="Y303" s="334">
        <v>1</v>
      </c>
      <c r="AB303" s="169">
        <f>ROUND('Awesome People List-Master'!A298,0)</f>
        <v>43928</v>
      </c>
    </row>
    <row r="304" spans="20:28" ht="13">
      <c r="T304" s="56" t="str">
        <f ca="1">IFERROR(__xludf.DUMMYFUNCTION("""COMPUTED_VALUE"""),"99.co")</f>
        <v>99.co</v>
      </c>
      <c r="U304" s="49">
        <f ca="1">COUNTIF('Awesome People List-Master'!D:D,T304)</f>
        <v>4</v>
      </c>
      <c r="X304" s="333" t="s">
        <v>7892</v>
      </c>
      <c r="Y304" s="334">
        <v>1</v>
      </c>
      <c r="AB304" s="169">
        <f>ROUND('Awesome People List-Master'!A299,0)</f>
        <v>43928</v>
      </c>
    </row>
    <row r="305" spans="20:28" ht="13">
      <c r="T305" s="49" t="str">
        <f ca="1">IFERROR(__xludf.DUMMYFUNCTION("""COMPUTED_VALUE"""),"Style Theory ")</f>
        <v xml:space="preserve">Style Theory </v>
      </c>
      <c r="U305" s="49">
        <f ca="1">COUNTIF('Awesome People List-Master'!D:D,T305)</f>
        <v>1</v>
      </c>
      <c r="X305" s="333" t="s">
        <v>8872</v>
      </c>
      <c r="Y305" s="334">
        <v>1</v>
      </c>
      <c r="AB305" s="169">
        <f>ROUND('Awesome People List-Master'!A300,0)</f>
        <v>43928</v>
      </c>
    </row>
    <row r="306" spans="20:28" ht="13">
      <c r="T306" s="49" t="str">
        <f ca="1">IFERROR(__xludf.DUMMYFUNCTION("""COMPUTED_VALUE"""),"Noodle Factory")</f>
        <v>Noodle Factory</v>
      </c>
      <c r="U306" s="49">
        <f ca="1">COUNTIF('Awesome People List-Master'!D:D,T306)</f>
        <v>1</v>
      </c>
      <c r="X306" s="333" t="s">
        <v>7898</v>
      </c>
      <c r="Y306" s="334">
        <v>1</v>
      </c>
      <c r="AB306" s="169">
        <f>ROUND('Awesome People List-Master'!A301,0)</f>
        <v>43928</v>
      </c>
    </row>
    <row r="307" spans="20:28" ht="13">
      <c r="T307" s="49" t="str">
        <f ca="1">IFERROR(__xludf.DUMMYFUNCTION("""COMPUTED_VALUE"""),"Prime HR")</f>
        <v>Prime HR</v>
      </c>
      <c r="U307" s="49">
        <f ca="1">COUNTIF('Awesome People List-Master'!D:D,T307)</f>
        <v>1</v>
      </c>
      <c r="X307" s="333" t="s">
        <v>8889</v>
      </c>
      <c r="Y307" s="334">
        <v>1</v>
      </c>
      <c r="AB307" s="169">
        <f>ROUND('Awesome People List-Master'!A302,0)</f>
        <v>43928</v>
      </c>
    </row>
    <row r="308" spans="20:28" ht="13">
      <c r="T308" s="49" t="str">
        <f ca="1">IFERROR(__xludf.DUMMYFUNCTION("""COMPUTED_VALUE"""),"CHCLab Solutions")</f>
        <v>CHCLab Solutions</v>
      </c>
      <c r="U308" s="49">
        <f ca="1">COUNTIF('Awesome People List-Master'!D:D,T308)</f>
        <v>1</v>
      </c>
      <c r="X308" s="333" t="s">
        <v>7909</v>
      </c>
      <c r="Y308" s="334">
        <v>1</v>
      </c>
      <c r="AB308" s="169">
        <f>ROUND('Awesome People List-Master'!A303,0)</f>
        <v>43928</v>
      </c>
    </row>
    <row r="309" spans="20:28" ht="13">
      <c r="T309" s="49" t="str">
        <f ca="1">IFERROR(__xludf.DUMMYFUNCTION("""COMPUTED_VALUE"""),"Skift")</f>
        <v>Skift</v>
      </c>
      <c r="U309" s="49">
        <f ca="1">COUNTIF('Awesome People List-Master'!D:D,T309)</f>
        <v>1</v>
      </c>
      <c r="X309" s="333" t="s">
        <v>8917</v>
      </c>
      <c r="Y309" s="334">
        <v>1</v>
      </c>
      <c r="AB309" s="169">
        <f>ROUND('Awesome People List-Master'!A304,0)</f>
        <v>43928</v>
      </c>
    </row>
    <row r="310" spans="20:28" ht="13">
      <c r="T310" s="49" t="str">
        <f ca="1">IFERROR(__xludf.DUMMYFUNCTION("""COMPUTED_VALUE"""),"Helmad")</f>
        <v>Helmad</v>
      </c>
      <c r="U310" s="49">
        <f ca="1">COUNTIF('Awesome People List-Master'!D:D,T310)</f>
        <v>1</v>
      </c>
      <c r="X310" s="333" t="s">
        <v>7919</v>
      </c>
      <c r="Y310" s="334">
        <v>1</v>
      </c>
      <c r="AB310" s="169">
        <f>ROUND('Awesome People List-Master'!A305,0)</f>
        <v>43928</v>
      </c>
    </row>
    <row r="311" spans="20:28" ht="13">
      <c r="T311" s="49" t="str">
        <f ca="1">IFERROR(__xludf.DUMMYFUNCTION("""COMPUTED_VALUE"""),"IBM")</f>
        <v>IBM</v>
      </c>
      <c r="U311" s="49">
        <f ca="1">COUNTIF('Awesome People List-Master'!D:D,T311)</f>
        <v>1</v>
      </c>
      <c r="X311" s="333" t="s">
        <v>7462</v>
      </c>
      <c r="Y311" s="334">
        <v>1</v>
      </c>
      <c r="AB311" s="169">
        <f>ROUND('Awesome People List-Master'!A306,0)</f>
        <v>43928</v>
      </c>
    </row>
    <row r="312" spans="20:28" ht="13">
      <c r="T312" s="49" t="str">
        <f ca="1">IFERROR(__xludf.DUMMYFUNCTION("""COMPUTED_VALUE"""),"Holiday Inn Express Jakarta Matraman")</f>
        <v>Holiday Inn Express Jakarta Matraman</v>
      </c>
      <c r="U312" s="49">
        <f ca="1">COUNTIF('Awesome People List-Master'!D:D,T312)</f>
        <v>1</v>
      </c>
      <c r="X312" s="333" t="s">
        <v>7927</v>
      </c>
      <c r="Y312" s="334">
        <v>1</v>
      </c>
      <c r="AB312" s="169">
        <f>ROUND('Awesome People List-Master'!A307,0)</f>
        <v>43928</v>
      </c>
    </row>
    <row r="313" spans="20:28" ht="13">
      <c r="T313" s="49" t="str">
        <f ca="1">IFERROR(__xludf.DUMMYFUNCTION("""COMPUTED_VALUE"""),"Traveloka / TripAdvisor")</f>
        <v>Traveloka / TripAdvisor</v>
      </c>
      <c r="U313" s="49">
        <f ca="1">COUNTIF('Awesome People List-Master'!D:D,T313)</f>
        <v>1</v>
      </c>
      <c r="X313" s="333" t="s">
        <v>8975</v>
      </c>
      <c r="Y313" s="334">
        <v>1</v>
      </c>
      <c r="AB313" s="169">
        <f>ROUND('Awesome People List-Master'!A308,0)</f>
        <v>43928</v>
      </c>
    </row>
    <row r="314" spans="20:28" ht="13">
      <c r="T314" s="49" t="str">
        <f ca="1">IFERROR(__xludf.DUMMYFUNCTION("""COMPUTED_VALUE"""),"Autobnb")</f>
        <v>Autobnb</v>
      </c>
      <c r="U314" s="49">
        <f ca="1">COUNTIF('Awesome People List-Master'!D:D,T314)</f>
        <v>1</v>
      </c>
      <c r="X314" s="333" t="s">
        <v>7935</v>
      </c>
      <c r="Y314" s="334">
        <v>1</v>
      </c>
      <c r="AB314" s="169">
        <f>ROUND('Awesome People List-Master'!A309,0)</f>
        <v>43928</v>
      </c>
    </row>
    <row r="315" spans="20:28" ht="13">
      <c r="T315" s="49" t="str">
        <f ca="1">IFERROR(__xludf.DUMMYFUNCTION("""COMPUTED_VALUE"""),"Dimopay (Traveloka Group)")</f>
        <v>Dimopay (Traveloka Group)</v>
      </c>
      <c r="U315" s="49">
        <f ca="1">COUNTIF('Awesome People List-Master'!D:D,T315)</f>
        <v>1</v>
      </c>
      <c r="X315" s="333" t="s">
        <v>8991</v>
      </c>
      <c r="Y315" s="334">
        <v>1</v>
      </c>
      <c r="AB315" s="169">
        <f>ROUND('Awesome People List-Master'!A310,0)</f>
        <v>43928</v>
      </c>
    </row>
    <row r="316" spans="20:28" ht="13">
      <c r="T316" s="49" t="str">
        <f ca="1">IFERROR(__xludf.DUMMYFUNCTION("""COMPUTED_VALUE"""),"Eatsyapp")</f>
        <v>Eatsyapp</v>
      </c>
      <c r="U316" s="49">
        <f ca="1">COUNTIF('Awesome People List-Master'!D:D,T316)</f>
        <v>1</v>
      </c>
      <c r="X316" s="333" t="s">
        <v>7952</v>
      </c>
      <c r="Y316" s="334">
        <v>1</v>
      </c>
      <c r="AB316" s="169">
        <f>ROUND('Awesome People List-Master'!A311,0)</f>
        <v>43928</v>
      </c>
    </row>
    <row r="317" spans="20:28" ht="13">
      <c r="T317" s="49" t="str">
        <f ca="1">IFERROR(__xludf.DUMMYFUNCTION("""COMPUTED_VALUE"""),"ELVA Group")</f>
        <v>ELVA Group</v>
      </c>
      <c r="U317" s="49">
        <f ca="1">COUNTIF('Awesome People List-Master'!D:D,T317)</f>
        <v>1</v>
      </c>
      <c r="X317" s="333" t="s">
        <v>9003</v>
      </c>
      <c r="Y317" s="334">
        <v>1</v>
      </c>
      <c r="AB317" s="169">
        <f>ROUND('Awesome People List-Master'!A312,0)</f>
        <v>43928</v>
      </c>
    </row>
    <row r="318" spans="20:28" ht="13">
      <c r="T318" s="49" t="str">
        <f ca="1">IFERROR(__xludf.DUMMYFUNCTION("""COMPUTED_VALUE"""),"Susi Air")</f>
        <v>Susi Air</v>
      </c>
      <c r="U318" s="49">
        <f ca="1">COUNTIF('Awesome People List-Master'!D:D,T318)</f>
        <v>1</v>
      </c>
      <c r="X318" s="333" t="s">
        <v>7960</v>
      </c>
      <c r="Y318" s="334">
        <v>1</v>
      </c>
      <c r="AB318" s="169">
        <f>ROUND('Awesome People List-Master'!A313,0)</f>
        <v>43928</v>
      </c>
    </row>
    <row r="319" spans="20:28" ht="13">
      <c r="T319" s="49" t="str">
        <f ca="1">IFERROR(__xludf.DUMMYFUNCTION("""COMPUTED_VALUE"""),"TRAVLR")</f>
        <v>TRAVLR</v>
      </c>
      <c r="U319" s="49">
        <f ca="1">COUNTIF('Awesome People List-Master'!D:D,T319)</f>
        <v>1</v>
      </c>
      <c r="X319" s="333" t="s">
        <v>9019</v>
      </c>
      <c r="Y319" s="334">
        <v>1</v>
      </c>
      <c r="AB319" s="169">
        <f>ROUND('Awesome People List-Master'!A314,0)</f>
        <v>43928</v>
      </c>
    </row>
    <row r="320" spans="20:28" ht="13">
      <c r="T320" s="49" t="str">
        <f ca="1">IFERROR(__xludf.DUMMYFUNCTION("""COMPUTED_VALUE"""),"SweetEscape.com , bridestory.com")</f>
        <v>SweetEscape.com , bridestory.com</v>
      </c>
      <c r="U320" s="49">
        <f ca="1">COUNTIF('Awesome People List-Master'!D:D,T320)</f>
        <v>1</v>
      </c>
      <c r="X320" s="333" t="s">
        <v>7967</v>
      </c>
      <c r="Y320" s="334">
        <v>1</v>
      </c>
      <c r="AB320" s="169">
        <f>ROUND('Awesome People List-Master'!A315,0)</f>
        <v>43928</v>
      </c>
    </row>
    <row r="321" spans="20:28" ht="13">
      <c r="T321" s="49" t="str">
        <f ca="1">IFERROR(__xludf.DUMMYFUNCTION("""COMPUTED_VALUE"""),"SweetEscape ")</f>
        <v xml:space="preserve">SweetEscape </v>
      </c>
      <c r="U321" s="49">
        <f ca="1">COUNTIF('Awesome People List-Master'!D:D,T321)</f>
        <v>1</v>
      </c>
      <c r="X321" s="333" t="s">
        <v>8811</v>
      </c>
      <c r="Y321" s="334">
        <v>1</v>
      </c>
      <c r="AB321" s="169">
        <f>ROUND('Awesome People List-Master'!A316,0)</f>
        <v>43928</v>
      </c>
    </row>
    <row r="322" spans="20:28" ht="13">
      <c r="T322" s="49" t="str">
        <f ca="1">IFERROR(__xludf.DUMMYFUNCTION("""COMPUTED_VALUE"""),"PT TRAVLR GUIDE INDONESIA")</f>
        <v>PT TRAVLR GUIDE INDONESIA</v>
      </c>
      <c r="U322" s="49">
        <f ca="1">COUNTIF('Awesome People List-Master'!D:D,T322)</f>
        <v>1</v>
      </c>
      <c r="X322" s="333" t="s">
        <v>7979</v>
      </c>
      <c r="Y322" s="334">
        <v>1</v>
      </c>
      <c r="AB322" s="169">
        <f>ROUND('Awesome People List-Master'!A317,0)</f>
        <v>43928</v>
      </c>
    </row>
    <row r="323" spans="20:28" ht="13">
      <c r="T323" s="56" t="str">
        <f ca="1">IFERROR(__xludf.DUMMYFUNCTION("""COMPUTED_VALUE"""),"pigijo.com")</f>
        <v>pigijo.com</v>
      </c>
      <c r="U323" s="49">
        <f ca="1">COUNTIF('Awesome People List-Master'!D:D,T323)</f>
        <v>1</v>
      </c>
      <c r="X323" s="333" t="s">
        <v>9052</v>
      </c>
      <c r="Y323" s="334">
        <v>1</v>
      </c>
      <c r="AB323" s="169">
        <f>ROUND('Awesome People List-Master'!A318,0)</f>
        <v>43928</v>
      </c>
    </row>
    <row r="324" spans="20:28" ht="13">
      <c r="T324" s="49" t="str">
        <f ca="1">IFERROR(__xludf.DUMMYFUNCTION("""COMPUTED_VALUE"""),"PT KOZY Manajemen")</f>
        <v>PT KOZY Manajemen</v>
      </c>
      <c r="U324" s="49">
        <f ca="1">COUNTIF('Awesome People List-Master'!D:D,T324)</f>
        <v>1</v>
      </c>
      <c r="X324" s="333" t="s">
        <v>7987</v>
      </c>
      <c r="Y324" s="334">
        <v>1</v>
      </c>
      <c r="AB324" s="169">
        <f>ROUND('Awesome People List-Master'!A319,0)</f>
        <v>43928</v>
      </c>
    </row>
    <row r="325" spans="20:28" ht="13">
      <c r="T325" s="49" t="str">
        <f ca="1">IFERROR(__xludf.DUMMYFUNCTION("""COMPUTED_VALUE"""),"Red Otter Pte Ltd.  ")</f>
        <v xml:space="preserve">Red Otter Pte Ltd.  </v>
      </c>
      <c r="U325" s="49">
        <f ca="1">COUNTIF('Awesome People List-Master'!D:D,T325)</f>
        <v>1</v>
      </c>
      <c r="X325" s="333" t="s">
        <v>9066</v>
      </c>
      <c r="Y325" s="334">
        <v>1</v>
      </c>
      <c r="AB325" s="169">
        <f>ROUND('Awesome People List-Master'!A320,0)</f>
        <v>43928</v>
      </c>
    </row>
    <row r="326" spans="20:28" ht="13">
      <c r="T326" s="49" t="str">
        <f ca="1">IFERROR(__xludf.DUMMYFUNCTION("""COMPUTED_VALUE"""),"SWAT Mobility Pte. Ltd.")</f>
        <v>SWAT Mobility Pte. Ltd.</v>
      </c>
      <c r="U326" s="49">
        <f ca="1">COUNTIF('Awesome People List-Master'!D:D,T326)</f>
        <v>1</v>
      </c>
      <c r="X326" s="333" t="s">
        <v>7789</v>
      </c>
      <c r="Y326" s="334">
        <v>1</v>
      </c>
      <c r="AB326" s="169">
        <f>ROUND('Awesome People List-Master'!A321,0)</f>
        <v>43928</v>
      </c>
    </row>
    <row r="327" spans="20:28" ht="13">
      <c r="T327" s="49" t="str">
        <f ca="1">IFERROR(__xludf.DUMMYFUNCTION("""COMPUTED_VALUE"""),"Sojern ")</f>
        <v xml:space="preserve">Sojern </v>
      </c>
      <c r="U327" s="49">
        <f ca="1">COUNTIF('Awesome People List-Master'!D:D,T327)</f>
        <v>1</v>
      </c>
      <c r="X327" s="333" t="s">
        <v>9080</v>
      </c>
      <c r="Y327" s="334">
        <v>1</v>
      </c>
      <c r="AB327" s="169">
        <f>ROUND('Awesome People List-Master'!A322,0)</f>
        <v>43928</v>
      </c>
    </row>
    <row r="328" spans="20:28" ht="13">
      <c r="T328" s="49" t="str">
        <f ca="1">IFERROR(__xludf.DUMMYFUNCTION("""COMPUTED_VALUE"""),"Jualo")</f>
        <v>Jualo</v>
      </c>
      <c r="U328" s="49">
        <f ca="1">COUNTIF('Awesome People List-Master'!D:D,T328)</f>
        <v>1</v>
      </c>
      <c r="X328" s="333" t="s">
        <v>8002</v>
      </c>
      <c r="Y328" s="334">
        <v>1</v>
      </c>
      <c r="AB328" s="169">
        <f>ROUND('Awesome People List-Master'!A323,0)</f>
        <v>43928</v>
      </c>
    </row>
    <row r="329" spans="20:28" ht="13">
      <c r="T329" s="49" t="str">
        <f ca="1">IFERROR(__xludf.DUMMYFUNCTION("""COMPUTED_VALUE"""),"PT. Media Nusantara Citra Tbk.")</f>
        <v>PT. Media Nusantara Citra Tbk.</v>
      </c>
      <c r="U329" s="49">
        <f ca="1">COUNTIF('Awesome People List-Master'!D:D,T329)</f>
        <v>1</v>
      </c>
      <c r="X329" s="333" t="s">
        <v>9093</v>
      </c>
      <c r="Y329" s="334">
        <v>1</v>
      </c>
      <c r="AB329" s="169">
        <f>ROUND('Awesome People List-Master'!A324,0)</f>
        <v>43928</v>
      </c>
    </row>
    <row r="330" spans="20:28" ht="13">
      <c r="T330" s="49" t="str">
        <f ca="1">IFERROR(__xludf.DUMMYFUNCTION("""COMPUTED_VALUE"""),"Dahmakan")</f>
        <v>Dahmakan</v>
      </c>
      <c r="U330" s="49">
        <f ca="1">COUNTIF('Awesome People List-Master'!D:D,T330)</f>
        <v>6</v>
      </c>
      <c r="X330" s="333" t="s">
        <v>8013</v>
      </c>
      <c r="Y330" s="334">
        <v>1</v>
      </c>
      <c r="AB330" s="169">
        <f>ROUND('Awesome People List-Master'!A325,0)</f>
        <v>43928</v>
      </c>
    </row>
    <row r="331" spans="20:28" ht="13">
      <c r="T331" s="49" t="str">
        <f ca="1">IFERROR(__xludf.DUMMYFUNCTION("""COMPUTED_VALUE"""),"MGF sourcing ")</f>
        <v xml:space="preserve">MGF sourcing </v>
      </c>
      <c r="U331" s="49">
        <f ca="1">COUNTIF('Awesome People List-Master'!D:D,T331)</f>
        <v>1</v>
      </c>
      <c r="X331" s="333" t="s">
        <v>9103</v>
      </c>
      <c r="Y331" s="334">
        <v>1</v>
      </c>
      <c r="AB331" s="169">
        <f>ROUND('Awesome People List-Master'!A326,0)</f>
        <v>43928</v>
      </c>
    </row>
    <row r="332" spans="20:28" ht="13">
      <c r="T332" s="49" t="str">
        <f ca="1">IFERROR(__xludf.DUMMYFUNCTION("""COMPUTED_VALUE"""),"Big Bad Wolf Books Sdn Bhd")</f>
        <v>Big Bad Wolf Books Sdn Bhd</v>
      </c>
      <c r="U332" s="49">
        <f ca="1">COUNTIF('Awesome People List-Master'!D:D,T332)</f>
        <v>1</v>
      </c>
      <c r="X332" s="333" t="s">
        <v>8024</v>
      </c>
      <c r="Y332" s="334">
        <v>1</v>
      </c>
      <c r="AB332" s="169">
        <f>ROUND('Awesome People List-Master'!A327,0)</f>
        <v>43928</v>
      </c>
    </row>
    <row r="333" spans="20:28" ht="13">
      <c r="T333" s="49" t="str">
        <f ca="1">IFERROR(__xludf.DUMMYFUNCTION("""COMPUTED_VALUE"""),"Zuzu Hospitality")</f>
        <v>Zuzu Hospitality</v>
      </c>
      <c r="U333" s="49">
        <f ca="1">COUNTIF('Awesome People List-Master'!D:D,T333)</f>
        <v>10</v>
      </c>
      <c r="X333" s="333" t="s">
        <v>6028</v>
      </c>
      <c r="Y333" s="334">
        <v>1</v>
      </c>
      <c r="AB333" s="169">
        <f>ROUND('Awesome People List-Master'!A328,0)</f>
        <v>43928</v>
      </c>
    </row>
    <row r="334" spans="20:28" ht="13">
      <c r="T334" s="49" t="str">
        <f ca="1">IFERROR(__xludf.DUMMYFUNCTION("""COMPUTED_VALUE"""),"PT. Prisma DIgital Media")</f>
        <v>PT. Prisma DIgital Media</v>
      </c>
      <c r="U334" s="49">
        <f ca="1">COUNTIF('Awesome People List-Master'!D:D,T334)</f>
        <v>1</v>
      </c>
      <c r="X334" s="333" t="s">
        <v>8028</v>
      </c>
      <c r="Y334" s="334">
        <v>1</v>
      </c>
      <c r="AB334" s="169">
        <f>ROUND('Awesome People List-Master'!A329,0)</f>
        <v>43928</v>
      </c>
    </row>
    <row r="335" spans="20:28" ht="13">
      <c r="T335" s="49" t="str">
        <f ca="1">IFERROR(__xludf.DUMMYFUNCTION("""COMPUTED_VALUE"""),"PT Adya Eduka Dinamika (EF) ")</f>
        <v xml:space="preserve">PT Adya Eduka Dinamika (EF) </v>
      </c>
      <c r="U335" s="49">
        <f ca="1">COUNTIF('Awesome People List-Master'!D:D,T335)</f>
        <v>1</v>
      </c>
      <c r="X335" s="333" t="s">
        <v>8645</v>
      </c>
      <c r="Y335" s="334">
        <v>1</v>
      </c>
      <c r="AB335" s="169">
        <f>ROUND('Awesome People List-Master'!A330,0)</f>
        <v>43928</v>
      </c>
    </row>
    <row r="336" spans="20:28" ht="13">
      <c r="T336" s="49" t="str">
        <f ca="1">IFERROR(__xludf.DUMMYFUNCTION("""COMPUTED_VALUE"""),"EBlinq Fashion (M) Sdn Bhd")</f>
        <v>EBlinq Fashion (M) Sdn Bhd</v>
      </c>
      <c r="U336" s="49">
        <f ca="1">COUNTIF('Awesome People List-Master'!D:D,T336)</f>
        <v>2</v>
      </c>
      <c r="X336" s="333" t="s">
        <v>7569</v>
      </c>
      <c r="Y336" s="334">
        <v>1</v>
      </c>
      <c r="AB336" s="169">
        <f>ROUND('Awesome People List-Master'!A331,0)</f>
        <v>43928</v>
      </c>
    </row>
    <row r="337" spans="20:28" ht="13">
      <c r="T337" s="49" t="str">
        <f ca="1">IFERROR(__xludf.DUMMYFUNCTION("""COMPUTED_VALUE"""),"Patsnap")</f>
        <v>Patsnap</v>
      </c>
      <c r="U337" s="49">
        <f ca="1">COUNTIF('Awesome People List-Master'!D:D,T337)</f>
        <v>1</v>
      </c>
      <c r="X337" s="333" t="s">
        <v>7526</v>
      </c>
      <c r="Y337" s="334">
        <v>1</v>
      </c>
      <c r="AB337" s="169">
        <f>ROUND('Awesome People List-Master'!A332,0)</f>
        <v>43928</v>
      </c>
    </row>
    <row r="338" spans="20:28" ht="13">
      <c r="T338" s="49" t="str">
        <f ca="1">IFERROR(__xludf.DUMMYFUNCTION("""COMPUTED_VALUE"""),"ReCharge Indonesia")</f>
        <v>ReCharge Indonesia</v>
      </c>
      <c r="U338" s="49">
        <f ca="1">COUNTIF('Awesome People List-Master'!D:D,T338)</f>
        <v>3</v>
      </c>
      <c r="X338" s="333" t="s">
        <v>8051</v>
      </c>
      <c r="Y338" s="334">
        <v>1</v>
      </c>
      <c r="AB338" s="169">
        <f>ROUND('Awesome People List-Master'!A333,0)</f>
        <v>43928</v>
      </c>
    </row>
    <row r="339" spans="20:28" ht="13">
      <c r="T339" s="49" t="str">
        <f ca="1">IFERROR(__xludf.DUMMYFUNCTION("""COMPUTED_VALUE"""),"PT TRISINAR INDOPRATAMA")</f>
        <v>PT TRISINAR INDOPRATAMA</v>
      </c>
      <c r="U339" s="49">
        <f ca="1">COUNTIF('Awesome People List-Master'!D:D,T339)</f>
        <v>1</v>
      </c>
      <c r="X339" s="333" t="s">
        <v>9149</v>
      </c>
      <c r="Y339" s="334">
        <v>1</v>
      </c>
      <c r="AB339" s="169">
        <f>ROUND('Awesome People List-Master'!A334,0)</f>
        <v>43928</v>
      </c>
    </row>
    <row r="340" spans="20:28" ht="13">
      <c r="T340" s="49" t="str">
        <f ca="1">IFERROR(__xludf.DUMMYFUNCTION("""COMPUTED_VALUE"""),"IT. Business Solution Sdn. Bhd")</f>
        <v>IT. Business Solution Sdn. Bhd</v>
      </c>
      <c r="U340" s="49">
        <f ca="1">COUNTIF('Awesome People List-Master'!D:D,T340)</f>
        <v>1</v>
      </c>
      <c r="X340" s="333" t="s">
        <v>8060</v>
      </c>
      <c r="Y340" s="334">
        <v>1</v>
      </c>
      <c r="AB340" s="169">
        <f>ROUND('Awesome People List-Master'!A335,0)</f>
        <v>43928</v>
      </c>
    </row>
    <row r="341" spans="20:28" ht="13">
      <c r="T341" s="49" t="str">
        <f ca="1">IFERROR(__xludf.DUMMYFUNCTION("""COMPUTED_VALUE"""),"ABEJA")</f>
        <v>ABEJA</v>
      </c>
      <c r="U341" s="49">
        <f ca="1">COUNTIF('Awesome People List-Master'!D:D,T341)</f>
        <v>1</v>
      </c>
      <c r="X341" s="333" t="s">
        <v>9386</v>
      </c>
      <c r="Y341" s="334">
        <v>1</v>
      </c>
      <c r="AB341" s="169">
        <f>ROUND('Awesome People List-Master'!A336,0)</f>
        <v>43928</v>
      </c>
    </row>
    <row r="342" spans="20:28" ht="13">
      <c r="T342" s="49" t="str">
        <f ca="1">IFERROR(__xludf.DUMMYFUNCTION("""COMPUTED_VALUE"""),"POPLOOK Sdn Bhd")</f>
        <v>POPLOOK Sdn Bhd</v>
      </c>
      <c r="U342" s="49">
        <f ca="1">COUNTIF('Awesome People List-Master'!D:D,T342)</f>
        <v>1</v>
      </c>
      <c r="X342" s="333" t="s">
        <v>8070</v>
      </c>
      <c r="Y342" s="334">
        <v>1</v>
      </c>
      <c r="AB342" s="169">
        <f>ROUND('Awesome People List-Master'!A337,0)</f>
        <v>43928</v>
      </c>
    </row>
    <row r="343" spans="20:28" ht="13">
      <c r="T343" s="49" t="str">
        <f ca="1">IFERROR(__xludf.DUMMYFUNCTION("""COMPUTED_VALUE"""),"Kind Kones (Raisin the Roof Sdn Bhd)")</f>
        <v>Kind Kones (Raisin the Roof Sdn Bhd)</v>
      </c>
      <c r="U343" s="49">
        <f ca="1">COUNTIF('Awesome People List-Master'!D:D,T343)</f>
        <v>1</v>
      </c>
      <c r="X343" s="333" t="s">
        <v>8110</v>
      </c>
      <c r="Y343" s="334">
        <v>1</v>
      </c>
      <c r="AB343" s="169">
        <f>ROUND('Awesome People List-Master'!A338,0)</f>
        <v>43928</v>
      </c>
    </row>
    <row r="344" spans="20:28" ht="13">
      <c r="T344" s="49" t="str">
        <f ca="1">IFERROR(__xludf.DUMMYFUNCTION("""COMPUTED_VALUE"""),"Kind Kones")</f>
        <v>Kind Kones</v>
      </c>
      <c r="U344" s="49">
        <f ca="1">COUNTIF('Awesome People List-Master'!D:D,T344)</f>
        <v>1</v>
      </c>
      <c r="X344" s="333" t="s">
        <v>8081</v>
      </c>
      <c r="Y344" s="334">
        <v>1</v>
      </c>
      <c r="AB344" s="169">
        <f>ROUND('Awesome People List-Master'!A339,0)</f>
        <v>43929</v>
      </c>
    </row>
    <row r="345" spans="20:28" ht="13">
      <c r="T345" s="49" t="str">
        <f ca="1">IFERROR(__xludf.DUMMYFUNCTION("""COMPUTED_VALUE"""),"PT. Rightledger indonesia")</f>
        <v>PT. Rightledger indonesia</v>
      </c>
      <c r="U345" s="49">
        <f ca="1">COUNTIF('Awesome People List-Master'!D:D,T345)</f>
        <v>1</v>
      </c>
      <c r="X345" s="333" t="s">
        <v>9263</v>
      </c>
      <c r="Y345" s="334">
        <v>1</v>
      </c>
      <c r="AB345" s="169">
        <f>ROUND('Awesome People List-Master'!A340,0)</f>
        <v>43929</v>
      </c>
    </row>
    <row r="346" spans="20:28" ht="13">
      <c r="T346" s="49" t="str">
        <f ca="1">IFERROR(__xludf.DUMMYFUNCTION("""COMPUTED_VALUE"""),"Kenanga Investors Berhad")</f>
        <v>Kenanga Investors Berhad</v>
      </c>
      <c r="U346" s="49">
        <f ca="1">COUNTIF('Awesome People List-Master'!D:D,T346)</f>
        <v>1</v>
      </c>
      <c r="X346" s="333" t="s">
        <v>7910</v>
      </c>
      <c r="Y346" s="334">
        <v>1</v>
      </c>
      <c r="AB346" s="169">
        <f>ROUND('Awesome People List-Master'!A341,0)</f>
        <v>43929</v>
      </c>
    </row>
    <row r="347" spans="20:28" ht="13">
      <c r="T347" s="49" t="str">
        <f ca="1">IFERROR(__xludf.DUMMYFUNCTION("""COMPUTED_VALUE"""),"Certis Cisco")</f>
        <v>Certis Cisco</v>
      </c>
      <c r="U347" s="49">
        <f ca="1">COUNTIF('Awesome People List-Master'!D:D,T347)</f>
        <v>1</v>
      </c>
      <c r="X347" s="333" t="s">
        <v>9408</v>
      </c>
      <c r="Y347" s="334">
        <v>1</v>
      </c>
      <c r="AB347" s="169">
        <f>ROUND('Awesome People List-Master'!A342,0)</f>
        <v>43929</v>
      </c>
    </row>
    <row r="348" spans="20:28" ht="13">
      <c r="T348" s="49" t="str">
        <f ca="1">IFERROR(__xludf.DUMMYFUNCTION("""COMPUTED_VALUE"""),"Quadrature Capital")</f>
        <v>Quadrature Capital</v>
      </c>
      <c r="U348" s="49">
        <f ca="1">COUNTIF('Awesome People List-Master'!D:D,T348)</f>
        <v>1</v>
      </c>
      <c r="X348" s="333" t="s">
        <v>8093</v>
      </c>
      <c r="Y348" s="334">
        <v>1</v>
      </c>
      <c r="AB348" s="169">
        <f>ROUND('Awesome People List-Master'!A343,0)</f>
        <v>43929</v>
      </c>
    </row>
    <row r="349" spans="20:28" ht="13">
      <c r="T349" s="49" t="str">
        <f ca="1">IFERROR(__xludf.DUMMYFUNCTION("""COMPUTED_VALUE"""),"dahmakan")</f>
        <v>dahmakan</v>
      </c>
      <c r="U349" s="49">
        <f ca="1">COUNTIF('Awesome People List-Master'!D:D,T349)</f>
        <v>6</v>
      </c>
      <c r="X349" s="333" t="s">
        <v>6705</v>
      </c>
      <c r="Y349" s="334">
        <v>1</v>
      </c>
      <c r="AB349" s="169">
        <f>ROUND('Awesome People List-Master'!A344,0)</f>
        <v>43929</v>
      </c>
    </row>
    <row r="350" spans="20:28" ht="13">
      <c r="T350" s="49" t="str">
        <f ca="1">IFERROR(__xludf.DUMMYFUNCTION("""COMPUTED_VALUE"""),"Market Pulse")</f>
        <v>Market Pulse</v>
      </c>
      <c r="U350" s="49">
        <f ca="1">COUNTIF('Awesome People List-Master'!D:D,T350)</f>
        <v>1</v>
      </c>
      <c r="X350" s="333" t="s">
        <v>9415</v>
      </c>
      <c r="Y350" s="334">
        <v>1</v>
      </c>
      <c r="AB350" s="169">
        <f>ROUND('Awesome People List-Master'!A345,0)</f>
        <v>43929</v>
      </c>
    </row>
    <row r="351" spans="20:28" ht="13">
      <c r="T351" s="49" t="str">
        <f ca="1">IFERROR(__xludf.DUMMYFUNCTION("""COMPUTED_VALUE"""),"Perx Technologies")</f>
        <v>Perx Technologies</v>
      </c>
      <c r="U351" s="49">
        <f ca="1">COUNTIF('Awesome People List-Master'!D:D,T351)</f>
        <v>2</v>
      </c>
      <c r="X351" s="333" t="s">
        <v>8100</v>
      </c>
      <c r="Y351" s="334">
        <v>1</v>
      </c>
      <c r="AB351" s="169">
        <f>ROUND('Awesome People List-Master'!A346,0)</f>
        <v>43929</v>
      </c>
    </row>
    <row r="352" spans="20:28" ht="13">
      <c r="T352" s="49" t="str">
        <f ca="1">IFERROR(__xludf.DUMMYFUNCTION("""COMPUTED_VALUE"""),"Watcha")</f>
        <v>Watcha</v>
      </c>
      <c r="U352" s="49">
        <f ca="1">COUNTIF('Awesome People List-Master'!D:D,T352)</f>
        <v>1</v>
      </c>
      <c r="X352" s="333" t="s">
        <v>8107</v>
      </c>
      <c r="Y352" s="334">
        <v>1</v>
      </c>
      <c r="AB352" s="169">
        <f>ROUND('Awesome People List-Master'!A347,0)</f>
        <v>43929</v>
      </c>
    </row>
    <row r="353" spans="20:28" ht="13">
      <c r="T353" s="56" t="str">
        <f ca="1">IFERROR(__xludf.DUMMYFUNCTION("""COMPUTED_VALUE"""),"Cermati.com")</f>
        <v>Cermati.com</v>
      </c>
      <c r="U353" s="49">
        <f ca="1">COUNTIF('Awesome People List-Master'!D:D,T353)</f>
        <v>2</v>
      </c>
      <c r="X353" s="333" t="s">
        <v>3276</v>
      </c>
      <c r="Y353" s="334">
        <v>1</v>
      </c>
      <c r="AB353" s="169">
        <f>ROUND('Awesome People List-Master'!A348,0)</f>
        <v>43929</v>
      </c>
    </row>
    <row r="354" spans="20:28" ht="13">
      <c r="T354" s="49" t="str">
        <f ca="1">IFERROR(__xludf.DUMMYFUNCTION("""COMPUTED_VALUE"""),"Xen Technologies")</f>
        <v>Xen Technologies</v>
      </c>
      <c r="U354" s="49">
        <f ca="1">COUNTIF('Awesome People List-Master'!D:D,T354)</f>
        <v>2</v>
      </c>
      <c r="X354" s="333" t="s">
        <v>6124</v>
      </c>
      <c r="Y354" s="334">
        <v>1</v>
      </c>
      <c r="AB354" s="169">
        <f>ROUND('Awesome People List-Master'!A349,0)</f>
        <v>43929</v>
      </c>
    </row>
    <row r="355" spans="20:28" ht="13">
      <c r="T355" s="49" t="str">
        <f ca="1">IFERROR(__xludf.DUMMYFUNCTION("""COMPUTED_VALUE"""),"Expedia Group")</f>
        <v>Expedia Group</v>
      </c>
      <c r="U355" s="49">
        <f ca="1">COUNTIF('Awesome People List-Master'!D:D,T355)</f>
        <v>2</v>
      </c>
      <c r="X355" s="333" t="s">
        <v>3576</v>
      </c>
      <c r="Y355" s="334">
        <v>1</v>
      </c>
      <c r="AB355" s="169">
        <f>ROUND('Awesome People List-Master'!A350,0)</f>
        <v>43929</v>
      </c>
    </row>
    <row r="356" spans="20:28" ht="13">
      <c r="T356" s="56" t="str">
        <f ca="1">IFERROR(__xludf.DUMMYFUNCTION("""COMPUTED_VALUE"""),"vsource.io")</f>
        <v>vsource.io</v>
      </c>
      <c r="U356" s="49">
        <f ca="1">COUNTIF('Awesome People List-Master'!D:D,T356)</f>
        <v>1</v>
      </c>
      <c r="X356" s="333" t="s">
        <v>3629</v>
      </c>
      <c r="Y356" s="334">
        <v>1</v>
      </c>
      <c r="AB356" s="169">
        <f>ROUND('Awesome People List-Master'!A351,0)</f>
        <v>43929</v>
      </c>
    </row>
    <row r="357" spans="20:28" ht="13">
      <c r="T357" s="49" t="str">
        <f ca="1">IFERROR(__xludf.DUMMYFUNCTION("""COMPUTED_VALUE"""),"PT MNC Land Tbk")</f>
        <v>PT MNC Land Tbk</v>
      </c>
      <c r="U357" s="49">
        <f ca="1">COUNTIF('Awesome People List-Master'!D:D,T357)</f>
        <v>1</v>
      </c>
      <c r="X357" s="333" t="s">
        <v>3617</v>
      </c>
      <c r="Y357" s="334">
        <v>1</v>
      </c>
      <c r="AB357" s="169">
        <f>ROUND('Awesome People List-Master'!A352,0)</f>
        <v>43929</v>
      </c>
    </row>
    <row r="358" spans="20:28" ht="13">
      <c r="T358" s="49" t="str">
        <f ca="1">IFERROR(__xludf.DUMMYFUNCTION("""COMPUTED_VALUE"""),"HUBUD Coworking Space")</f>
        <v>HUBUD Coworking Space</v>
      </c>
      <c r="U358" s="49">
        <f ca="1">COUNTIF('Awesome People List-Master'!D:D,T358)</f>
        <v>1</v>
      </c>
      <c r="X358" s="333" t="s">
        <v>3640</v>
      </c>
      <c r="Y358" s="334">
        <v>1</v>
      </c>
      <c r="AB358" s="169">
        <f>ROUND('Awesome People List-Master'!A353,0)</f>
        <v>43929</v>
      </c>
    </row>
    <row r="359" spans="20:28" ht="13">
      <c r="T359" s="49" t="str">
        <f ca="1">IFERROR(__xludf.DUMMYFUNCTION("""COMPUTED_VALUE"""),"Ayannah")</f>
        <v>Ayannah</v>
      </c>
      <c r="U359" s="49">
        <f ca="1">COUNTIF('Awesome People List-Master'!D:D,T359)</f>
        <v>1</v>
      </c>
      <c r="X359" s="333" t="s">
        <v>5519</v>
      </c>
      <c r="Y359" s="334">
        <v>1</v>
      </c>
      <c r="AB359" s="169">
        <f>ROUND('Awesome People List-Master'!A354,0)</f>
        <v>43929</v>
      </c>
    </row>
    <row r="360" spans="20:28" ht="13">
      <c r="T360" s="49" t="str">
        <f ca="1">IFERROR(__xludf.DUMMYFUNCTION("""COMPUTED_VALUE"""),"CIMB Niaga Finance")</f>
        <v>CIMB Niaga Finance</v>
      </c>
      <c r="U360" s="49">
        <f ca="1">COUNTIF('Awesome People List-Master'!D:D,T360)</f>
        <v>2</v>
      </c>
      <c r="X360" s="333" t="s">
        <v>3646</v>
      </c>
      <c r="Y360" s="334">
        <v>1</v>
      </c>
      <c r="AB360" s="169">
        <f>ROUND('Awesome People List-Master'!A355,0)</f>
        <v>43929</v>
      </c>
    </row>
    <row r="361" spans="20:28" ht="13">
      <c r="T361" s="49" t="str">
        <f ca="1">IFERROR(__xludf.DUMMYFUNCTION("""COMPUTED_VALUE"""),"PT amalan International Indonesia")</f>
        <v>PT amalan International Indonesia</v>
      </c>
      <c r="U361" s="49">
        <f ca="1">COUNTIF('Awesome People List-Master'!D:D,T361)</f>
        <v>1</v>
      </c>
      <c r="X361" s="333" t="s">
        <v>5959</v>
      </c>
      <c r="Y361" s="334">
        <v>1</v>
      </c>
      <c r="AB361" s="169">
        <f>ROUND('Awesome People List-Master'!A356,0)</f>
        <v>43929</v>
      </c>
    </row>
    <row r="362" spans="20:28" ht="13">
      <c r="T362" s="49" t="str">
        <f ca="1">IFERROR(__xludf.DUMMYFUNCTION("""COMPUTED_VALUE"""),"MD Pictures")</f>
        <v>MD Pictures</v>
      </c>
      <c r="U362" s="49">
        <f ca="1">COUNTIF('Awesome People List-Master'!D:D,T362)</f>
        <v>1</v>
      </c>
      <c r="X362" s="333" t="s">
        <v>3652</v>
      </c>
      <c r="Y362" s="334">
        <v>1</v>
      </c>
      <c r="AB362" s="169">
        <f>ROUND('Awesome People List-Master'!A357,0)</f>
        <v>43929</v>
      </c>
    </row>
    <row r="363" spans="20:28" ht="13">
      <c r="T363" s="49" t="str">
        <f ca="1">IFERROR(__xludf.DUMMYFUNCTION("""COMPUTED_VALUE"""),"EKRUT")</f>
        <v>EKRUT</v>
      </c>
      <c r="U363" s="49">
        <f ca="1">COUNTIF('Awesome People List-Master'!D:D,T363)</f>
        <v>1</v>
      </c>
      <c r="X363" s="333" t="s">
        <v>6334</v>
      </c>
      <c r="Y363" s="334">
        <v>1</v>
      </c>
      <c r="AB363" s="169">
        <f>ROUND('Awesome People List-Master'!A358,0)</f>
        <v>43929</v>
      </c>
    </row>
    <row r="364" spans="20:28" ht="13">
      <c r="T364" s="49" t="str">
        <f ca="1">IFERROR(__xludf.DUMMYFUNCTION("""COMPUTED_VALUE"""),"CoHive , Jakarta")</f>
        <v>CoHive , Jakarta</v>
      </c>
      <c r="U364" s="49">
        <f ca="1">COUNTIF('Awesome People List-Master'!D:D,T364)</f>
        <v>1</v>
      </c>
      <c r="X364" s="333" t="s">
        <v>3672</v>
      </c>
      <c r="Y364" s="334">
        <v>1</v>
      </c>
      <c r="AB364" s="169">
        <f>ROUND('Awesome People List-Master'!A359,0)</f>
        <v>43929</v>
      </c>
    </row>
    <row r="365" spans="20:28" ht="13">
      <c r="T365" s="49" t="str">
        <f ca="1">IFERROR(__xludf.DUMMYFUNCTION("""COMPUTED_VALUE"""),"Purwadhika Startup &amp; Coding School")</f>
        <v>Purwadhika Startup &amp; Coding School</v>
      </c>
      <c r="U365" s="49">
        <f ca="1">COUNTIF('Awesome People List-Master'!D:D,T365)</f>
        <v>2</v>
      </c>
      <c r="X365" s="333" t="s">
        <v>5163</v>
      </c>
      <c r="Y365" s="334">
        <v>1</v>
      </c>
      <c r="AB365" s="169">
        <f>ROUND('Awesome People List-Master'!A360,0)</f>
        <v>43929</v>
      </c>
    </row>
    <row r="366" spans="20:28" ht="13">
      <c r="T366" s="49" t="str">
        <f ca="1">IFERROR(__xludf.DUMMYFUNCTION("""COMPUTED_VALUE"""),"Beam Mobility Australia Pty Ltd")</f>
        <v>Beam Mobility Australia Pty Ltd</v>
      </c>
      <c r="U366" s="49">
        <f ca="1">COUNTIF('Awesome People List-Master'!D:D,T366)</f>
        <v>1</v>
      </c>
      <c r="X366" s="333" t="s">
        <v>3696</v>
      </c>
      <c r="Y366" s="334">
        <v>1</v>
      </c>
      <c r="AB366" s="169">
        <f>ROUND('Awesome People List-Master'!A361,0)</f>
        <v>43929</v>
      </c>
    </row>
    <row r="367" spans="20:28" ht="13">
      <c r="T367" s="49" t="str">
        <f ca="1">IFERROR(__xludf.DUMMYFUNCTION("""COMPUTED_VALUE"""),"BlinQ Fashion")</f>
        <v>BlinQ Fashion</v>
      </c>
      <c r="U367" s="49">
        <f ca="1">COUNTIF('Awesome People List-Master'!D:D,T367)</f>
        <v>1</v>
      </c>
      <c r="X367" s="333" t="s">
        <v>5385</v>
      </c>
      <c r="Y367" s="334">
        <v>1</v>
      </c>
      <c r="AB367" s="169">
        <f>ROUND('Awesome People List-Master'!A362,0)</f>
        <v>43929</v>
      </c>
    </row>
    <row r="368" spans="20:28" ht="13">
      <c r="T368" s="49" t="str">
        <f ca="1">IFERROR(__xludf.DUMMYFUNCTION("""COMPUTED_VALUE"""),"BlueMart Indonesia ")</f>
        <v xml:space="preserve">BlueMart Indonesia </v>
      </c>
      <c r="U368" s="49">
        <f ca="1">COUNTIF('Awesome People List-Master'!D:D,T368)</f>
        <v>1</v>
      </c>
      <c r="X368" s="333" t="s">
        <v>3704</v>
      </c>
      <c r="Y368" s="334">
        <v>1</v>
      </c>
      <c r="AB368" s="169">
        <f>ROUND('Awesome People List-Master'!A363,0)</f>
        <v>43929</v>
      </c>
    </row>
    <row r="369" spans="20:28" ht="13">
      <c r="T369" s="49" t="str">
        <f ca="1">IFERROR(__xludf.DUMMYFUNCTION("""COMPUTED_VALUE"""),"Vivabuy (Cross Border Ecommerce)")</f>
        <v>Vivabuy (Cross Border Ecommerce)</v>
      </c>
      <c r="U369" s="49">
        <f ca="1">COUNTIF('Awesome People List-Master'!D:D,T369)</f>
        <v>1</v>
      </c>
      <c r="X369" s="333" t="s">
        <v>5620</v>
      </c>
      <c r="Y369" s="334">
        <v>1</v>
      </c>
      <c r="AB369" s="169">
        <f>ROUND('Awesome People List-Master'!A364,0)</f>
        <v>43929</v>
      </c>
    </row>
    <row r="370" spans="20:28" ht="13">
      <c r="T370" s="49" t="str">
        <f ca="1">IFERROR(__xludf.DUMMYFUNCTION("""COMPUTED_VALUE"""),"FORE COFFEE")</f>
        <v>FORE COFFEE</v>
      </c>
      <c r="U370" s="49">
        <f ca="1">COUNTIF('Awesome People List-Master'!D:D,T370)</f>
        <v>2</v>
      </c>
      <c r="X370" s="333" t="s">
        <v>3729</v>
      </c>
      <c r="Y370" s="334">
        <v>1</v>
      </c>
      <c r="AB370" s="169">
        <f>ROUND('Awesome People List-Master'!A365,0)</f>
        <v>43929</v>
      </c>
    </row>
    <row r="371" spans="20:28" ht="13">
      <c r="T371" s="49" t="str">
        <f ca="1">IFERROR(__xludf.DUMMYFUNCTION("""COMPUTED_VALUE"""),"Ninenineone Network")</f>
        <v>Ninenineone Network</v>
      </c>
      <c r="U371" s="49">
        <f ca="1">COUNTIF('Awesome People List-Master'!D:D,T371)</f>
        <v>1</v>
      </c>
      <c r="X371" s="333" t="s">
        <v>5871</v>
      </c>
      <c r="Y371" s="334">
        <v>1</v>
      </c>
      <c r="AB371" s="169">
        <f>ROUND('Awesome People List-Master'!A366,0)</f>
        <v>43929</v>
      </c>
    </row>
    <row r="372" spans="20:28" ht="13">
      <c r="T372" s="49" t="str">
        <f ca="1">IFERROR(__xludf.DUMMYFUNCTION("""COMPUTED_VALUE"""),"IRiver Asia")</f>
        <v>IRiver Asia</v>
      </c>
      <c r="U372" s="49">
        <f ca="1">COUNTIF('Awesome People List-Master'!D:D,T372)</f>
        <v>1</v>
      </c>
      <c r="X372" s="333" t="s">
        <v>3753</v>
      </c>
      <c r="Y372" s="334">
        <v>1</v>
      </c>
      <c r="AB372" s="169">
        <f>ROUND('Awesome People List-Master'!A367,0)</f>
        <v>43929</v>
      </c>
    </row>
    <row r="373" spans="20:28" ht="13">
      <c r="T373" s="49" t="str">
        <f ca="1">IFERROR(__xludf.DUMMYFUNCTION("""COMPUTED_VALUE"""),"Pt Smart tbk")</f>
        <v>Pt Smart tbk</v>
      </c>
      <c r="U373" s="49">
        <f ca="1">COUNTIF('Awesome People List-Master'!D:D,T373)</f>
        <v>1</v>
      </c>
      <c r="X373" s="333" t="s">
        <v>6032</v>
      </c>
      <c r="Y373" s="334">
        <v>1</v>
      </c>
      <c r="AB373" s="169">
        <f>ROUND('Awesome People List-Master'!A368,0)</f>
        <v>43929</v>
      </c>
    </row>
    <row r="374" spans="20:28" ht="13">
      <c r="T374" s="49" t="str">
        <f ca="1">IFERROR(__xludf.DUMMYFUNCTION("""COMPUTED_VALUE"""),"Marimakan")</f>
        <v>Marimakan</v>
      </c>
      <c r="U374" s="49">
        <f ca="1">COUNTIF('Awesome People List-Master'!D:D,T374)</f>
        <v>2</v>
      </c>
      <c r="X374" s="333" t="s">
        <v>3764</v>
      </c>
      <c r="Y374" s="334">
        <v>1</v>
      </c>
      <c r="AB374" s="169">
        <f>ROUND('Awesome People List-Master'!A369,0)</f>
        <v>43929</v>
      </c>
    </row>
    <row r="375" spans="20:28" ht="13">
      <c r="T375" s="49" t="str">
        <f ca="1">IFERROR(__xludf.DUMMYFUNCTION("""COMPUTED_VALUE"""),"Kompis Creative Solutions")</f>
        <v>Kompis Creative Solutions</v>
      </c>
      <c r="U375" s="49">
        <f ca="1">COUNTIF('Awesome People List-Master'!D:D,T375)</f>
        <v>1</v>
      </c>
      <c r="X375" s="333" t="s">
        <v>6240</v>
      </c>
      <c r="Y375" s="334">
        <v>1</v>
      </c>
      <c r="AB375" s="169">
        <f>ROUND('Awesome People List-Master'!A370,0)</f>
        <v>43929</v>
      </c>
    </row>
    <row r="376" spans="20:28" ht="13">
      <c r="T376" s="49" t="str">
        <f ca="1">IFERROR(__xludf.DUMMYFUNCTION("""COMPUTED_VALUE"""),"MSC CRUISE LINE")</f>
        <v>MSC CRUISE LINE</v>
      </c>
      <c r="U376" s="49">
        <f ca="1">COUNTIF('Awesome People List-Master'!D:D,T376)</f>
        <v>1</v>
      </c>
      <c r="X376" s="333" t="s">
        <v>3772</v>
      </c>
      <c r="Y376" s="334">
        <v>1</v>
      </c>
      <c r="AB376" s="169">
        <f>ROUND('Awesome People List-Master'!A371,0)</f>
        <v>43929</v>
      </c>
    </row>
    <row r="377" spans="20:28" ht="13">
      <c r="T377" s="49" t="str">
        <f ca="1">IFERROR(__xludf.DUMMYFUNCTION("""COMPUTED_VALUE"""),"PT Bank Maybank Indonesia")</f>
        <v>PT Bank Maybank Indonesia</v>
      </c>
      <c r="U377" s="49">
        <f ca="1">COUNTIF('Awesome People List-Master'!D:D,T377)</f>
        <v>1</v>
      </c>
      <c r="X377" s="333" t="s">
        <v>6446</v>
      </c>
      <c r="Y377" s="334">
        <v>1</v>
      </c>
      <c r="AB377" s="169">
        <f>ROUND('Awesome People List-Master'!A372,0)</f>
        <v>43929</v>
      </c>
    </row>
    <row r="378" spans="20:28" ht="13">
      <c r="T378" s="49" t="str">
        <f ca="1">IFERROR(__xludf.DUMMYFUNCTION("""COMPUTED_VALUE"""),"Elliot Communications/ProsPR Indonesia")</f>
        <v>Elliot Communications/ProsPR Indonesia</v>
      </c>
      <c r="U378" s="49">
        <f ca="1">COUNTIF('Awesome People List-Master'!D:D,T378)</f>
        <v>1</v>
      </c>
      <c r="X378" s="333" t="s">
        <v>3782</v>
      </c>
      <c r="Y378" s="334">
        <v>1</v>
      </c>
      <c r="AB378" s="169">
        <f>ROUND('Awesome People List-Master'!A373,0)</f>
        <v>43929</v>
      </c>
    </row>
    <row r="379" spans="20:28" ht="13">
      <c r="T379" s="49" t="str">
        <f ca="1">IFERROR(__xludf.DUMMYFUNCTION("""COMPUTED_VALUE"""),"Deltamas S.I.M (Authorized Toyota Dealership)")</f>
        <v>Deltamas S.I.M (Authorized Toyota Dealership)</v>
      </c>
      <c r="U379" s="49">
        <f ca="1">COUNTIF('Awesome People List-Master'!D:D,T379)</f>
        <v>1</v>
      </c>
      <c r="X379" s="333" t="s">
        <v>5052</v>
      </c>
      <c r="Y379" s="334">
        <v>1</v>
      </c>
      <c r="AB379" s="169">
        <f>ROUND('Awesome People List-Master'!A374,0)</f>
        <v>43929</v>
      </c>
    </row>
    <row r="380" spans="20:28" ht="13">
      <c r="T380" s="49" t="str">
        <f ca="1">IFERROR(__xludf.DUMMYFUNCTION("""COMPUTED_VALUE"""),"Stg")</f>
        <v>Stg</v>
      </c>
      <c r="U380" s="49">
        <f ca="1">COUNTIF('Awesome People List-Master'!D:D,T380)</f>
        <v>1</v>
      </c>
      <c r="X380" s="333" t="s">
        <v>3794</v>
      </c>
      <c r="Y380" s="334">
        <v>1</v>
      </c>
      <c r="AB380" s="169">
        <f>ROUND('Awesome People List-Master'!A375,0)</f>
        <v>43929</v>
      </c>
    </row>
    <row r="381" spans="20:28" ht="13">
      <c r="T381" s="49" t="str">
        <f ca="1">IFERROR(__xludf.DUMMYFUNCTION("""COMPUTED_VALUE"""),"Java anugerah")</f>
        <v>Java anugerah</v>
      </c>
      <c r="U381" s="49">
        <f ca="1">COUNTIF('Awesome People List-Master'!D:D,T381)</f>
        <v>1</v>
      </c>
      <c r="X381" s="333" t="s">
        <v>5219</v>
      </c>
      <c r="Y381" s="334">
        <v>1</v>
      </c>
      <c r="AB381" s="169">
        <f>ROUND('Awesome People List-Master'!A376,0)</f>
        <v>43929</v>
      </c>
    </row>
    <row r="382" spans="20:28" ht="13">
      <c r="T382" s="49" t="str">
        <f ca="1">IFERROR(__xludf.DUMMYFUNCTION("""COMPUTED_VALUE"""),"Caterspot")</f>
        <v>Caterspot</v>
      </c>
      <c r="U382" s="49">
        <f ca="1">COUNTIF('Awesome People List-Master'!D:D,T382)</f>
        <v>1</v>
      </c>
      <c r="X382" s="333" t="s">
        <v>3803</v>
      </c>
      <c r="Y382" s="334">
        <v>1</v>
      </c>
      <c r="AB382" s="169">
        <f>ROUND('Awesome People List-Master'!A377,0)</f>
        <v>43929</v>
      </c>
    </row>
    <row r="383" spans="20:28" ht="13">
      <c r="T383" s="49" t="str">
        <f ca="1">IFERROR(__xludf.DUMMYFUNCTION("""COMPUTED_VALUE"""),"FOREFRONT International")</f>
        <v>FOREFRONT International</v>
      </c>
      <c r="U383" s="49">
        <f ca="1">COUNTIF('Awesome People List-Master'!D:D,T383)</f>
        <v>1</v>
      </c>
      <c r="X383" s="333" t="s">
        <v>5326</v>
      </c>
      <c r="Y383" s="334">
        <v>1</v>
      </c>
      <c r="AB383" s="169">
        <f>ROUND('Awesome People List-Master'!A378,0)</f>
        <v>43929</v>
      </c>
    </row>
    <row r="384" spans="20:28" ht="13">
      <c r="T384" s="56" t="str">
        <f ca="1">IFERROR(__xludf.DUMMYFUNCTION("""COMPUTED_VALUE"""),"prestisa.com")</f>
        <v>prestisa.com</v>
      </c>
      <c r="U384" s="49">
        <f ca="1">COUNTIF('Awesome People List-Master'!D:D,T384)</f>
        <v>1</v>
      </c>
      <c r="X384" s="333" t="s">
        <v>3833</v>
      </c>
      <c r="Y384" s="334">
        <v>1</v>
      </c>
      <c r="AB384" s="169">
        <f>ROUND('Awesome People List-Master'!A379,0)</f>
        <v>43929</v>
      </c>
    </row>
    <row r="385" spans="20:28" ht="13">
      <c r="T385" s="49" t="str">
        <f ca="1">IFERROR(__xludf.DUMMYFUNCTION("""COMPUTED_VALUE"""),"PT Solusi Energi Terbarukan")</f>
        <v>PT Solusi Energi Terbarukan</v>
      </c>
      <c r="U385" s="49">
        <f ca="1">COUNTIF('Awesome People List-Master'!D:D,T385)</f>
        <v>1</v>
      </c>
      <c r="X385" s="333" t="s">
        <v>5435</v>
      </c>
      <c r="Y385" s="334">
        <v>1</v>
      </c>
      <c r="AB385" s="169">
        <f>ROUND('Awesome People List-Master'!A380,0)</f>
        <v>43929</v>
      </c>
    </row>
    <row r="386" spans="20:28" ht="13">
      <c r="T386" s="49" t="str">
        <f ca="1">IFERROR(__xludf.DUMMYFUNCTION("""COMPUTED_VALUE"""),"International Finance Corporation")</f>
        <v>International Finance Corporation</v>
      </c>
      <c r="U386" s="49">
        <f ca="1">COUNTIF('Awesome People List-Master'!D:D,T386)</f>
        <v>1</v>
      </c>
      <c r="X386" s="333" t="s">
        <v>3854</v>
      </c>
      <c r="Y386" s="334">
        <v>1</v>
      </c>
      <c r="AB386" s="169">
        <f>ROUND('Awesome People List-Master'!A381,0)</f>
        <v>43929</v>
      </c>
    </row>
    <row r="387" spans="20:28" ht="13">
      <c r="T387" s="49" t="str">
        <f ca="1">IFERROR(__xludf.DUMMYFUNCTION("""COMPUTED_VALUE"""),"Grab")</f>
        <v>Grab</v>
      </c>
      <c r="U387" s="49">
        <f ca="1">COUNTIF('Awesome People List-Master'!D:D,T387)</f>
        <v>1</v>
      </c>
      <c r="X387" s="333" t="s">
        <v>5565</v>
      </c>
      <c r="Y387" s="334">
        <v>1</v>
      </c>
      <c r="AB387" s="169">
        <f>ROUND('Awesome People List-Master'!A382,0)</f>
        <v>43929</v>
      </c>
    </row>
    <row r="388" spans="20:28" ht="13">
      <c r="T388" s="49" t="str">
        <f ca="1">IFERROR(__xludf.DUMMYFUNCTION("""COMPUTED_VALUE"""),"Genospace")</f>
        <v>Genospace</v>
      </c>
      <c r="U388" s="49">
        <f ca="1">COUNTIF('Awesome People List-Master'!D:D,T388)</f>
        <v>1</v>
      </c>
      <c r="X388" s="333" t="s">
        <v>3863</v>
      </c>
      <c r="Y388" s="334">
        <v>1</v>
      </c>
      <c r="AB388" s="169">
        <f>ROUND('Awesome People List-Master'!A383,0)</f>
        <v>43929</v>
      </c>
    </row>
    <row r="389" spans="20:28" ht="13">
      <c r="T389" s="49" t="str">
        <f ca="1">IFERROR(__xludf.DUMMYFUNCTION("""COMPUTED_VALUE"""),"Finquest ")</f>
        <v xml:space="preserve">Finquest </v>
      </c>
      <c r="U389" s="49">
        <f ca="1">COUNTIF('Awesome People List-Master'!D:D,T389)</f>
        <v>1</v>
      </c>
      <c r="X389" s="333" t="s">
        <v>3548</v>
      </c>
      <c r="Y389" s="334">
        <v>1</v>
      </c>
      <c r="AB389" s="169">
        <f>ROUND('Awesome People List-Master'!A384,0)</f>
        <v>43929</v>
      </c>
    </row>
    <row r="390" spans="20:28" ht="13">
      <c r="T390" s="49" t="str">
        <f ca="1">IFERROR(__xludf.DUMMYFUNCTION("""COMPUTED_VALUE"""),"Amalan International Pte. Ltd.")</f>
        <v>Amalan International Pte. Ltd.</v>
      </c>
      <c r="U390" s="49">
        <f ca="1">COUNTIF('Awesome People List-Master'!D:D,T390)</f>
        <v>1</v>
      </c>
      <c r="X390" s="333" t="s">
        <v>2768</v>
      </c>
      <c r="Y390" s="334">
        <v>1</v>
      </c>
      <c r="AB390" s="169">
        <f>ROUND('Awesome People List-Master'!A385,0)</f>
        <v>43929</v>
      </c>
    </row>
    <row r="391" spans="20:28" ht="13">
      <c r="T391" s="49" t="str">
        <f ca="1">IFERROR(__xludf.DUMMYFUNCTION("""COMPUTED_VALUE"""),"Home Credit Indonesia ")</f>
        <v xml:space="preserve">Home Credit Indonesia </v>
      </c>
      <c r="U391" s="49">
        <f ca="1">COUNTIF('Awesome People List-Master'!D:D,T391)</f>
        <v>1</v>
      </c>
      <c r="X391" s="333" t="s">
        <v>5820</v>
      </c>
      <c r="Y391" s="334">
        <v>1</v>
      </c>
      <c r="AB391" s="169">
        <f>ROUND('Awesome People List-Master'!A386,0)</f>
        <v>43929</v>
      </c>
    </row>
    <row r="392" spans="20:28" ht="13">
      <c r="T392" s="49" t="str">
        <f ca="1">IFERROR(__xludf.DUMMYFUNCTION("""COMPUTED_VALUE"""),"HUYA")</f>
        <v>HUYA</v>
      </c>
      <c r="U392" s="49">
        <f ca="1">COUNTIF('Awesome People List-Master'!D:D,T392)</f>
        <v>1</v>
      </c>
      <c r="X392" s="333" t="s">
        <v>3881</v>
      </c>
      <c r="Y392" s="334">
        <v>1</v>
      </c>
      <c r="AB392" s="169">
        <f>ROUND('Awesome People List-Master'!A387,0)</f>
        <v>43929</v>
      </c>
    </row>
    <row r="393" spans="20:28" ht="13">
      <c r="T393" s="49" t="str">
        <f ca="1">IFERROR(__xludf.DUMMYFUNCTION("""COMPUTED_VALUE"""),"Kamar Keluarga")</f>
        <v>Kamar Keluarga</v>
      </c>
      <c r="U393" s="49">
        <f ca="1">COUNTIF('Awesome People List-Master'!D:D,T393)</f>
        <v>1</v>
      </c>
      <c r="X393" s="333" t="s">
        <v>5927</v>
      </c>
      <c r="Y393" s="334">
        <v>1</v>
      </c>
      <c r="AB393" s="169">
        <f>ROUND('Awesome People List-Master'!A388,0)</f>
        <v>43929</v>
      </c>
    </row>
    <row r="394" spans="20:28" ht="13">
      <c r="T394" s="49" t="str">
        <f ca="1">IFERROR(__xludf.DUMMYFUNCTION("""COMPUTED_VALUE"""),"atta Inc")</f>
        <v>atta Inc</v>
      </c>
      <c r="U394" s="49">
        <f ca="1">COUNTIF('Awesome People List-Master'!D:D,T394)</f>
        <v>1</v>
      </c>
      <c r="X394" s="333" t="s">
        <v>3304</v>
      </c>
      <c r="Y394" s="334">
        <v>1</v>
      </c>
      <c r="AB394" s="169">
        <f>ROUND('Awesome People List-Master'!A389,0)</f>
        <v>43929</v>
      </c>
    </row>
    <row r="395" spans="20:28" ht="13">
      <c r="T395" s="49" t="str">
        <f ca="1">IFERROR(__xludf.DUMMYFUNCTION("""COMPUTED_VALUE"""),"A/Nalendro")</f>
        <v>A/Nalendro</v>
      </c>
      <c r="U395" s="49">
        <f ca="1">COUNTIF('Awesome People List-Master'!D:D,T395)</f>
        <v>1</v>
      </c>
      <c r="X395" s="333" t="s">
        <v>5994</v>
      </c>
      <c r="Y395" s="334">
        <v>1</v>
      </c>
      <c r="AB395" s="169">
        <f>ROUND('Awesome People List-Master'!A390,0)</f>
        <v>43929</v>
      </c>
    </row>
    <row r="396" spans="20:28" ht="13">
      <c r="T396" s="49" t="str">
        <f ca="1">IFERROR(__xludf.DUMMYFUNCTION("""COMPUTED_VALUE"""),"MakerLab")</f>
        <v>MakerLab</v>
      </c>
      <c r="U396" s="49">
        <f ca="1">COUNTIF('Awesome People List-Master'!D:D,T396)</f>
        <v>1</v>
      </c>
      <c r="X396" s="333" t="s">
        <v>3905</v>
      </c>
      <c r="Y396" s="334">
        <v>1</v>
      </c>
      <c r="AB396" s="169">
        <f>ROUND('Awesome People List-Master'!A391,0)</f>
        <v>43929</v>
      </c>
    </row>
    <row r="397" spans="20:28" ht="13">
      <c r="T397" s="49" t="str">
        <f ca="1">IFERROR(__xludf.DUMMYFUNCTION("""COMPUTED_VALUE"""),"MEKARI (PT Mid Solusi Nusantara)")</f>
        <v>MEKARI (PT Mid Solusi Nusantara)</v>
      </c>
      <c r="U397" s="49">
        <f ca="1">COUNTIF('Awesome People List-Master'!D:D,T397)</f>
        <v>1</v>
      </c>
      <c r="X397" s="333" t="s">
        <v>6061</v>
      </c>
      <c r="Y397" s="334">
        <v>1</v>
      </c>
      <c r="AB397" s="169">
        <f>ROUND('Awesome People List-Master'!A392,0)</f>
        <v>43929</v>
      </c>
    </row>
    <row r="398" spans="20:28" ht="13">
      <c r="T398" s="49" t="str">
        <f ca="1">IFERROR(__xludf.DUMMYFUNCTION("""COMPUTED_VALUE"""),"PT Evi Asia Tenggara")</f>
        <v>PT Evi Asia Tenggara</v>
      </c>
      <c r="U398" s="49">
        <f ca="1">COUNTIF('Awesome People List-Master'!D:D,T398)</f>
        <v>1</v>
      </c>
      <c r="X398" s="333" t="s">
        <v>3920</v>
      </c>
      <c r="Y398" s="334">
        <v>1</v>
      </c>
      <c r="AB398" s="169">
        <f>ROUND('Awesome People List-Master'!A393,0)</f>
        <v>43930</v>
      </c>
    </row>
    <row r="399" spans="20:28" ht="13">
      <c r="T399" s="49" t="str">
        <f ca="1">IFERROR(__xludf.DUMMYFUNCTION("""COMPUTED_VALUE"""),"DTS kominfo")</f>
        <v>DTS kominfo</v>
      </c>
      <c r="U399" s="49">
        <f ca="1">COUNTIF('Awesome People List-Master'!D:D,T399)</f>
        <v>1</v>
      </c>
      <c r="X399" s="333" t="s">
        <v>6202</v>
      </c>
      <c r="Y399" s="334">
        <v>1</v>
      </c>
      <c r="AB399" s="169">
        <f>ROUND('Awesome People List-Master'!A394,0)</f>
        <v>43930</v>
      </c>
    </row>
    <row r="400" spans="20:28" ht="13">
      <c r="T400" s="49" t="str">
        <f ca="1">IFERROR(__xludf.DUMMYFUNCTION("""COMPUTED_VALUE"""),"Arcade Indonesia")</f>
        <v>Arcade Indonesia</v>
      </c>
      <c r="U400" s="49">
        <f ca="1">COUNTIF('Awesome People List-Master'!D:D,T400)</f>
        <v>1</v>
      </c>
      <c r="X400" s="333" t="s">
        <v>3951</v>
      </c>
      <c r="Y400" s="334">
        <v>1</v>
      </c>
      <c r="AB400" s="169">
        <f>ROUND('Awesome People List-Master'!A395,0)</f>
        <v>43930</v>
      </c>
    </row>
    <row r="401" spans="20:28" ht="13">
      <c r="T401" s="49" t="str">
        <f ca="1">IFERROR(__xludf.DUMMYFUNCTION("""COMPUTED_VALUE"""),"PT. Hacktivate Teknologi Indonesia")</f>
        <v>PT. Hacktivate Teknologi Indonesia</v>
      </c>
      <c r="U401" s="49">
        <f ca="1">COUNTIF('Awesome People List-Master'!D:D,T401)</f>
        <v>1</v>
      </c>
      <c r="X401" s="333" t="s">
        <v>3605</v>
      </c>
      <c r="Y401" s="334">
        <v>1</v>
      </c>
      <c r="AB401" s="169">
        <f>ROUND('Awesome People List-Master'!A396,0)</f>
        <v>43930</v>
      </c>
    </row>
    <row r="402" spans="20:28" ht="13">
      <c r="T402" s="49" t="str">
        <f ca="1">IFERROR(__xludf.DUMMYFUNCTION("""COMPUTED_VALUE"""),"Cohive")</f>
        <v>Cohive</v>
      </c>
      <c r="U402" s="49">
        <f ca="1">COUNTIF('Awesome People List-Master'!D:D,T402)</f>
        <v>5</v>
      </c>
      <c r="X402" s="333" t="s">
        <v>3959</v>
      </c>
      <c r="Y402" s="334">
        <v>1</v>
      </c>
      <c r="AB402" s="169">
        <f>ROUND('Awesome People List-Master'!A397,0)</f>
        <v>43930</v>
      </c>
    </row>
    <row r="403" spans="20:28" ht="13">
      <c r="T403" s="49" t="str">
        <f ca="1">IFERROR(__xludf.DUMMYFUNCTION("""COMPUTED_VALUE"""),"Big Bad wolf")</f>
        <v>Big Bad wolf</v>
      </c>
      <c r="U403" s="49">
        <f ca="1">COUNTIF('Awesome People List-Master'!D:D,T403)</f>
        <v>1</v>
      </c>
      <c r="X403" s="333" t="s">
        <v>6384</v>
      </c>
      <c r="Y403" s="334">
        <v>1</v>
      </c>
      <c r="AB403" s="169">
        <f>ROUND('Awesome People List-Master'!A398,0)</f>
        <v>43930</v>
      </c>
    </row>
    <row r="404" spans="20:28" ht="13">
      <c r="T404" s="49" t="str">
        <f ca="1">IFERROR(__xludf.DUMMYFUNCTION("""COMPUTED_VALUE"""),"PT. Paragon Pratama Teknologi")</f>
        <v>PT. Paragon Pratama Teknologi</v>
      </c>
      <c r="U404" s="49">
        <f ca="1">COUNTIF('Awesome People List-Master'!D:D,T404)</f>
        <v>1</v>
      </c>
      <c r="X404" s="333" t="s">
        <v>3310</v>
      </c>
      <c r="Y404" s="334">
        <v>1</v>
      </c>
      <c r="AB404" s="169">
        <f>ROUND('Awesome People List-Master'!A399,0)</f>
        <v>43930</v>
      </c>
    </row>
    <row r="405" spans="20:28" ht="13">
      <c r="T405" s="49" t="str">
        <f ca="1">IFERROR(__xludf.DUMMYFUNCTION("""COMPUTED_VALUE"""),"PT Inti Citra Agung")</f>
        <v>PT Inti Citra Agung</v>
      </c>
      <c r="U405" s="49">
        <f ca="1">COUNTIF('Awesome People List-Master'!D:D,T405)</f>
        <v>1</v>
      </c>
      <c r="X405" s="333" t="s">
        <v>6479</v>
      </c>
      <c r="Y405" s="334">
        <v>1</v>
      </c>
      <c r="AB405" s="169">
        <f>ROUND('Awesome People List-Master'!A400,0)</f>
        <v>43930</v>
      </c>
    </row>
    <row r="406" spans="20:28" ht="13">
      <c r="T406" s="49" t="str">
        <f ca="1">IFERROR(__xludf.DUMMYFUNCTION("""COMPUTED_VALUE"""),"SIAP Social Innovation.id")</f>
        <v>SIAP Social Innovation.id</v>
      </c>
      <c r="U406" s="49">
        <f ca="1">COUNTIF('Awesome People List-Master'!D:D,T406)</f>
        <v>1</v>
      </c>
      <c r="X406" s="333" t="s">
        <v>2604</v>
      </c>
      <c r="Y406" s="334">
        <v>1</v>
      </c>
      <c r="AB406" s="169">
        <f>ROUND('Awesome People List-Master'!A401,0)</f>
        <v>43930</v>
      </c>
    </row>
    <row r="407" spans="20:28" ht="13">
      <c r="T407" s="49">
        <f ca="1">IFERROR(__xludf.DUMMYFUNCTION("""COMPUTED_VALUE"""),2019)</f>
        <v>2019</v>
      </c>
      <c r="U407" s="49">
        <f ca="1">COUNTIF('Awesome People List-Master'!D:D,T407)</f>
        <v>1</v>
      </c>
      <c r="X407" s="333" t="s">
        <v>3421</v>
      </c>
      <c r="Y407" s="334">
        <v>1</v>
      </c>
      <c r="AB407" s="169">
        <f>ROUND('Awesome People List-Master'!A402,0)</f>
        <v>43930</v>
      </c>
    </row>
    <row r="408" spans="20:28" ht="13">
      <c r="T408" s="49" t="str">
        <f ca="1">IFERROR(__xludf.DUMMYFUNCTION("""COMPUTED_VALUE"""),"PT.Satyamitra Surya Perkasa")</f>
        <v>PT.Satyamitra Surya Perkasa</v>
      </c>
      <c r="U408" s="49">
        <f ca="1">COUNTIF('Awesome People List-Master'!D:D,T408)</f>
        <v>1</v>
      </c>
      <c r="X408" s="333" t="s">
        <v>3328</v>
      </c>
      <c r="Y408" s="334">
        <v>1</v>
      </c>
      <c r="AB408" s="169">
        <f>ROUND('Awesome People List-Master'!A403,0)</f>
        <v>43930</v>
      </c>
    </row>
    <row r="409" spans="20:28" ht="13">
      <c r="T409" s="49" t="str">
        <f ca="1">IFERROR(__xludf.DUMMYFUNCTION("""COMPUTED_VALUE"""),"Shangri La Barr Al Jissah")</f>
        <v>Shangri La Barr Al Jissah</v>
      </c>
      <c r="U409" s="49">
        <f ca="1">COUNTIF('Awesome People List-Master'!D:D,T409)</f>
        <v>1</v>
      </c>
      <c r="X409" s="333" t="s">
        <v>5098</v>
      </c>
      <c r="Y409" s="334">
        <v>1</v>
      </c>
      <c r="AB409" s="169">
        <f>ROUND('Awesome People List-Master'!A404,0)</f>
        <v>43930</v>
      </c>
    </row>
    <row r="410" spans="20:28" ht="13">
      <c r="T410" s="49" t="str">
        <f ca="1">IFERROR(__xludf.DUMMYFUNCTION("""COMPUTED_VALUE"""),"Beam")</f>
        <v>Beam</v>
      </c>
      <c r="U410" s="49">
        <f ca="1">COUNTIF('Awesome People List-Master'!D:D,T410)</f>
        <v>1</v>
      </c>
      <c r="X410" s="333" t="s">
        <v>4006</v>
      </c>
      <c r="Y410" s="334">
        <v>1</v>
      </c>
      <c r="AB410" s="169">
        <f>ROUND('Awesome People List-Master'!A405,0)</f>
        <v>43930</v>
      </c>
    </row>
    <row r="411" spans="20:28" ht="13">
      <c r="T411" s="49" t="str">
        <f ca="1">IFERROR(__xludf.DUMMYFUNCTION("""COMPUTED_VALUE"""),"Procter &amp; Gamble (P&amp;G)")</f>
        <v>Procter &amp; Gamble (P&amp;G)</v>
      </c>
      <c r="U411" s="49">
        <f ca="1">COUNTIF('Awesome People List-Master'!D:D,T411)</f>
        <v>1</v>
      </c>
      <c r="X411" s="333" t="s">
        <v>5185</v>
      </c>
      <c r="Y411" s="334">
        <v>1</v>
      </c>
      <c r="AB411" s="169">
        <f>ROUND('Awesome People List-Master'!A406,0)</f>
        <v>43930</v>
      </c>
    </row>
    <row r="412" spans="20:28" ht="13">
      <c r="T412" s="49" t="str">
        <f ca="1">IFERROR(__xludf.DUMMYFUNCTION("""COMPUTED_VALUE"""),"KGiSL")</f>
        <v>KGiSL</v>
      </c>
      <c r="U412" s="49">
        <f ca="1">COUNTIF('Awesome People List-Master'!D:D,T412)</f>
        <v>1</v>
      </c>
      <c r="X412" s="333" t="s">
        <v>4012</v>
      </c>
      <c r="Y412" s="334">
        <v>1</v>
      </c>
      <c r="AB412" s="169">
        <f>ROUND('Awesome People List-Master'!A407,0)</f>
        <v>43930</v>
      </c>
    </row>
    <row r="413" spans="20:28" ht="13">
      <c r="T413" s="49" t="str">
        <f ca="1">IFERROR(__xludf.DUMMYFUNCTION("""COMPUTED_VALUE"""),"MDIS Holdings (Singapore)")</f>
        <v>MDIS Holdings (Singapore)</v>
      </c>
      <c r="U413" s="49">
        <f ca="1">COUNTIF('Awesome People List-Master'!D:D,T413)</f>
        <v>1</v>
      </c>
      <c r="X413" s="333" t="s">
        <v>5257</v>
      </c>
      <c r="Y413" s="334">
        <v>1</v>
      </c>
      <c r="AB413" s="169">
        <f>ROUND('Awesome People List-Master'!A408,0)</f>
        <v>43930</v>
      </c>
    </row>
    <row r="414" spans="20:28" ht="13">
      <c r="T414" s="49" t="str">
        <f ca="1">IFERROR(__xludf.DUMMYFUNCTION("""COMPUTED_VALUE"""),"Singapore Telecommunications")</f>
        <v>Singapore Telecommunications</v>
      </c>
      <c r="U414" s="49">
        <f ca="1">COUNTIF('Awesome People List-Master'!D:D,T414)</f>
        <v>1</v>
      </c>
      <c r="X414" s="333" t="s">
        <v>4039</v>
      </c>
      <c r="Y414" s="334">
        <v>1</v>
      </c>
      <c r="AB414" s="169">
        <f>ROUND('Awesome People List-Master'!A409,0)</f>
        <v>43930</v>
      </c>
    </row>
    <row r="415" spans="20:28" ht="13">
      <c r="T415" s="49" t="str">
        <f ca="1">IFERROR(__xludf.DUMMYFUNCTION("""COMPUTED_VALUE"""),"Disrupto Society")</f>
        <v>Disrupto Society</v>
      </c>
      <c r="U415" s="49">
        <f ca="1">COUNTIF('Awesome People List-Master'!D:D,T415)</f>
        <v>1</v>
      </c>
      <c r="X415" s="333" t="s">
        <v>5292</v>
      </c>
      <c r="Y415" s="334">
        <v>1</v>
      </c>
      <c r="AB415" s="169">
        <f>ROUND('Awesome People List-Master'!A410,0)</f>
        <v>43930</v>
      </c>
    </row>
    <row r="416" spans="20:28" ht="13">
      <c r="T416" s="49" t="str">
        <f ca="1">IFERROR(__xludf.DUMMYFUNCTION("""COMPUTED_VALUE"""),"PT MOKA TEKNOLOGI INDONESIA")</f>
        <v>PT MOKA TEKNOLOGI INDONESIA</v>
      </c>
      <c r="U416" s="49">
        <f ca="1">COUNTIF('Awesome People List-Master'!D:D,T416)</f>
        <v>1</v>
      </c>
      <c r="X416" s="333" t="s">
        <v>4063</v>
      </c>
      <c r="Y416" s="334">
        <v>1</v>
      </c>
      <c r="AB416" s="169">
        <f>ROUND('Awesome People List-Master'!A411,0)</f>
        <v>43930</v>
      </c>
    </row>
    <row r="417" spans="20:28" ht="13">
      <c r="T417" s="49" t="str">
        <f ca="1">IFERROR(__xludf.DUMMYFUNCTION("""COMPUTED_VALUE"""),"Landor ")</f>
        <v xml:space="preserve">Landor </v>
      </c>
      <c r="U417" s="49">
        <f ca="1">COUNTIF('Awesome People List-Master'!D:D,T417)</f>
        <v>1</v>
      </c>
      <c r="X417" s="333" t="s">
        <v>5351</v>
      </c>
      <c r="Y417" s="334">
        <v>1</v>
      </c>
      <c r="AB417" s="169">
        <f>ROUND('Awesome People List-Master'!A412,0)</f>
        <v>43930</v>
      </c>
    </row>
    <row r="418" spans="20:28" ht="13">
      <c r="T418" s="49" t="str">
        <f ca="1">IFERROR(__xludf.DUMMYFUNCTION("""COMPUTED_VALUE"""),"The Keranjang Bali")</f>
        <v>The Keranjang Bali</v>
      </c>
      <c r="U418" s="49">
        <f ca="1">COUNTIF('Awesome People List-Master'!D:D,T418)</f>
        <v>1</v>
      </c>
      <c r="X418" s="333" t="s">
        <v>4075</v>
      </c>
      <c r="Y418" s="334">
        <v>1</v>
      </c>
      <c r="AB418" s="169">
        <f>ROUND('Awesome People List-Master'!A413,0)</f>
        <v>43930</v>
      </c>
    </row>
    <row r="419" spans="20:28" ht="13">
      <c r="T419" s="49" t="str">
        <f ca="1">IFERROR(__xludf.DUMMYFUNCTION("""COMPUTED_VALUE"""),"WISSCOM AEROSPACE LIMITED")</f>
        <v>WISSCOM AEROSPACE LIMITED</v>
      </c>
      <c r="U419" s="49">
        <f ca="1">COUNTIF('Awesome People List-Master'!D:D,T419)</f>
        <v>1</v>
      </c>
      <c r="X419" s="333" t="s">
        <v>5421</v>
      </c>
      <c r="Y419" s="334">
        <v>1</v>
      </c>
      <c r="AB419" s="169">
        <f>ROUND('Awesome People List-Master'!A414,0)</f>
        <v>43930</v>
      </c>
    </row>
    <row r="420" spans="20:28" ht="13">
      <c r="T420" s="49" t="str">
        <f ca="1">IFERROR(__xludf.DUMMYFUNCTION("""COMPUTED_VALUE"""),"MODANA.ID (PT Karuna Karyananta Nusantara)")</f>
        <v>MODANA.ID (PT Karuna Karyananta Nusantara)</v>
      </c>
      <c r="U420" s="49">
        <f ca="1">COUNTIF('Awesome People List-Master'!D:D,T420)</f>
        <v>1</v>
      </c>
      <c r="X420" s="333" t="s">
        <v>4087</v>
      </c>
      <c r="Y420" s="334">
        <v>1</v>
      </c>
      <c r="AB420" s="169">
        <f>ROUND('Awesome People List-Master'!A415,0)</f>
        <v>43930</v>
      </c>
    </row>
    <row r="421" spans="20:28" ht="13">
      <c r="T421" s="49" t="str">
        <f ca="1">IFERROR(__xludf.DUMMYFUNCTION("""COMPUTED_VALUE"""),"Fore Coffee")</f>
        <v>Fore Coffee</v>
      </c>
      <c r="U421" s="49">
        <f ca="1">COUNTIF('Awesome People List-Master'!D:D,T421)</f>
        <v>2</v>
      </c>
      <c r="X421" s="333" t="s">
        <v>5496</v>
      </c>
      <c r="Y421" s="334">
        <v>1</v>
      </c>
      <c r="AB421" s="169">
        <f>ROUND('Awesome People List-Master'!A416,0)</f>
        <v>43930</v>
      </c>
    </row>
    <row r="422" spans="20:28" ht="13">
      <c r="T422" s="49" t="str">
        <f ca="1">IFERROR(__xludf.DUMMYFUNCTION("""COMPUTED_VALUE"""),"Monash University")</f>
        <v>Monash University</v>
      </c>
      <c r="U422" s="49">
        <f ca="1">COUNTIF('Awesome People List-Master'!D:D,T422)</f>
        <v>1</v>
      </c>
      <c r="X422" s="333" t="s">
        <v>4093</v>
      </c>
      <c r="Y422" s="334">
        <v>1</v>
      </c>
      <c r="AB422" s="169">
        <f>ROUND('Awesome People List-Master'!A417,0)</f>
        <v>43930</v>
      </c>
    </row>
    <row r="423" spans="20:28" ht="13">
      <c r="T423" s="49" t="str">
        <f ca="1">IFERROR(__xludf.DUMMYFUNCTION("""COMPUTED_VALUE"""),"FIITJEE")</f>
        <v>FIITJEE</v>
      </c>
      <c r="U423" s="49">
        <f ca="1">COUNTIF('Awesome People List-Master'!D:D,T423)</f>
        <v>1</v>
      </c>
      <c r="X423" s="333" t="s">
        <v>5545</v>
      </c>
      <c r="Y423" s="334">
        <v>1</v>
      </c>
      <c r="AB423" s="169">
        <f>ROUND('Awesome People List-Master'!A418,0)</f>
        <v>43930</v>
      </c>
    </row>
    <row r="424" spans="20:28" ht="13">
      <c r="T424" s="49" t="str">
        <f ca="1">IFERROR(__xludf.DUMMYFUNCTION("""COMPUTED_VALUE"""),"Tata Communications Limited")</f>
        <v>Tata Communications Limited</v>
      </c>
      <c r="U424" s="49">
        <f ca="1">COUNTIF('Awesome People List-Master'!D:D,T424)</f>
        <v>1</v>
      </c>
      <c r="X424" s="333" t="s">
        <v>4100</v>
      </c>
      <c r="Y424" s="334">
        <v>1</v>
      </c>
      <c r="AB424" s="169">
        <f>ROUND('Awesome People List-Master'!A419,0)</f>
        <v>43930</v>
      </c>
    </row>
    <row r="425" spans="20:28" ht="13">
      <c r="T425" s="49" t="str">
        <f ca="1">IFERROR(__xludf.DUMMYFUNCTION("""COMPUTED_VALUE"""),"HMD Global, New chapter of Nokia Android smartphone")</f>
        <v>HMD Global, New chapter of Nokia Android smartphone</v>
      </c>
      <c r="U425" s="49">
        <f ca="1">COUNTIF('Awesome People List-Master'!D:D,T425)</f>
        <v>1</v>
      </c>
      <c r="X425" s="333" t="s">
        <v>5594</v>
      </c>
      <c r="Y425" s="334">
        <v>1</v>
      </c>
      <c r="AB425" s="169">
        <f>ROUND('Awesome People List-Master'!A420,0)</f>
        <v>43930</v>
      </c>
    </row>
    <row r="426" spans="20:28" ht="13">
      <c r="T426" s="49" t="str">
        <f ca="1">IFERROR(__xludf.DUMMYFUNCTION("""COMPUTED_VALUE"""),"Branch Metrics")</f>
        <v>Branch Metrics</v>
      </c>
      <c r="U426" s="49">
        <f ca="1">COUNTIF('Awesome People List-Master'!D:D,T426)</f>
        <v>5</v>
      </c>
      <c r="X426" s="333" t="s">
        <v>4118</v>
      </c>
      <c r="Y426" s="334">
        <v>1</v>
      </c>
      <c r="AB426" s="169">
        <f>ROUND('Awesome People List-Master'!A421,0)</f>
        <v>43930</v>
      </c>
    </row>
    <row r="427" spans="20:28" ht="13">
      <c r="T427" s="49" t="str">
        <f ca="1">IFERROR(__xludf.DUMMYFUNCTION("""COMPUTED_VALUE"""),"IDStar")</f>
        <v>IDStar</v>
      </c>
      <c r="U427" s="49">
        <f ca="1">COUNTIF('Awesome People List-Master'!D:D,T427)</f>
        <v>1</v>
      </c>
      <c r="X427" s="333" t="s">
        <v>5651</v>
      </c>
      <c r="Y427" s="334">
        <v>1</v>
      </c>
      <c r="AB427" s="169">
        <f>ROUND('Awesome People List-Master'!A422,0)</f>
        <v>43930</v>
      </c>
    </row>
    <row r="428" spans="20:28" ht="13">
      <c r="T428" s="49" t="str">
        <f ca="1">IFERROR(__xludf.DUMMYFUNCTION("""COMPUTED_VALUE"""),"Finquest.")</f>
        <v>Finquest.</v>
      </c>
      <c r="U428" s="49">
        <f ca="1">COUNTIF('Awesome People List-Master'!D:D,T428)</f>
        <v>1</v>
      </c>
      <c r="X428" s="333" t="s">
        <v>4124</v>
      </c>
      <c r="Y428" s="334">
        <v>1</v>
      </c>
      <c r="AB428" s="169">
        <f>ROUND('Awesome People List-Master'!A423,0)</f>
        <v>43930</v>
      </c>
    </row>
    <row r="429" spans="20:28" ht="13">
      <c r="T429" s="49" t="str">
        <f ca="1">IFERROR(__xludf.DUMMYFUNCTION("""COMPUTED_VALUE"""),"Airyrooms")</f>
        <v>Airyrooms</v>
      </c>
      <c r="U429" s="49">
        <f ca="1">COUNTIF('Awesome People List-Master'!D:D,T429)</f>
        <v>26</v>
      </c>
      <c r="X429" s="333" t="s">
        <v>3560</v>
      </c>
      <c r="Y429" s="334">
        <v>1</v>
      </c>
      <c r="AB429" s="169">
        <f>ROUND('Awesome People List-Master'!A424,0)</f>
        <v>43930</v>
      </c>
    </row>
    <row r="430" spans="20:28" ht="13">
      <c r="T430" s="49" t="str">
        <f ca="1">IFERROR(__xludf.DUMMYFUNCTION("""COMPUTED_VALUE"""),"X0PA Ai")</f>
        <v>X0PA Ai</v>
      </c>
      <c r="U430" s="49">
        <f ca="1">COUNTIF('Awesome People List-Master'!D:D,T430)</f>
        <v>1</v>
      </c>
      <c r="X430" s="333" t="s">
        <v>4142</v>
      </c>
      <c r="Y430" s="334">
        <v>1</v>
      </c>
      <c r="AB430" s="169" t="e">
        <f>ROUND(#REF!,0)</f>
        <v>#REF!</v>
      </c>
    </row>
    <row r="431" spans="20:28" ht="13">
      <c r="T431" s="49" t="str">
        <f ca="1">IFERROR(__xludf.DUMMYFUNCTION("""COMPUTED_VALUE"""),"CoHive")</f>
        <v>CoHive</v>
      </c>
      <c r="U431" s="49">
        <f ca="1">COUNTIF('Awesome People List-Master'!D:D,T431)</f>
        <v>5</v>
      </c>
      <c r="X431" s="333" t="s">
        <v>5793</v>
      </c>
      <c r="Y431" s="334">
        <v>1</v>
      </c>
      <c r="AB431" s="169">
        <f>ROUND('Awesome People List-Master'!A425,0)</f>
        <v>43930</v>
      </c>
    </row>
    <row r="432" spans="20:28" ht="13">
      <c r="T432" s="49" t="str">
        <f ca="1">IFERROR(__xludf.DUMMYFUNCTION("""COMPUTED_VALUE"""),"Go Online Destination (Pegipegi)")</f>
        <v>Go Online Destination (Pegipegi)</v>
      </c>
      <c r="U432" s="49">
        <f ca="1">COUNTIF('Awesome People List-Master'!D:D,T432)</f>
        <v>1</v>
      </c>
      <c r="X432" s="333" t="s">
        <v>3341</v>
      </c>
      <c r="Y432" s="334">
        <v>1</v>
      </c>
      <c r="AB432" s="169">
        <f>ROUND('Awesome People List-Master'!A426,0)</f>
        <v>43930</v>
      </c>
    </row>
    <row r="433" spans="20:28" ht="13">
      <c r="T433" s="49" t="str">
        <f ca="1">IFERROR(__xludf.DUMMYFUNCTION("""COMPUTED_VALUE"""),"Tyroola")</f>
        <v>Tyroola</v>
      </c>
      <c r="U433" s="49">
        <f ca="1">COUNTIF('Awesome People List-Master'!D:D,T433)</f>
        <v>1</v>
      </c>
      <c r="X433" s="333" t="s">
        <v>5835</v>
      </c>
      <c r="Y433" s="334">
        <v>1</v>
      </c>
      <c r="AB433" s="169">
        <f>ROUND('Awesome People List-Master'!A427,0)</f>
        <v>43930</v>
      </c>
    </row>
    <row r="434" spans="20:28" ht="13">
      <c r="T434" s="49" t="str">
        <f ca="1">IFERROR(__xludf.DUMMYFUNCTION("""COMPUTED_VALUE"""),"ISMAYA GROUP")</f>
        <v>ISMAYA GROUP</v>
      </c>
      <c r="U434" s="49">
        <f ca="1">COUNTIF('Awesome People List-Master'!D:D,T434)</f>
        <v>2</v>
      </c>
      <c r="X434" s="333" t="s">
        <v>4158</v>
      </c>
      <c r="Y434" s="334">
        <v>1</v>
      </c>
      <c r="AB434" s="169">
        <f>ROUND('Awesome People List-Master'!A428,0)</f>
        <v>43930</v>
      </c>
    </row>
    <row r="435" spans="20:28" ht="13">
      <c r="T435" s="49" t="str">
        <f ca="1">IFERROR(__xludf.DUMMYFUNCTION("""COMPUTED_VALUE"""),"LivePerson")</f>
        <v>LivePerson</v>
      </c>
      <c r="U435" s="49">
        <f ca="1">COUNTIF('Awesome People List-Master'!D:D,T435)</f>
        <v>1</v>
      </c>
      <c r="X435" s="333" t="s">
        <v>5904</v>
      </c>
      <c r="Y435" s="334">
        <v>1</v>
      </c>
      <c r="AB435" s="169">
        <f>ROUND('Awesome People List-Master'!A429,0)</f>
        <v>43930</v>
      </c>
    </row>
    <row r="436" spans="20:28" ht="13">
      <c r="T436" s="49" t="str">
        <f ca="1">IFERROR(__xludf.DUMMYFUNCTION("""COMPUTED_VALUE"""),"Eezee Pte Ltd")</f>
        <v>Eezee Pte Ltd</v>
      </c>
      <c r="U436" s="49">
        <f ca="1">COUNTIF('Awesome People List-Master'!D:D,T436)</f>
        <v>3</v>
      </c>
      <c r="X436" s="333" t="s">
        <v>3348</v>
      </c>
      <c r="Y436" s="334">
        <v>1</v>
      </c>
      <c r="AB436" s="169">
        <f>ROUND('Awesome People List-Master'!A430,0)</f>
        <v>43930</v>
      </c>
    </row>
    <row r="437" spans="20:28" ht="13">
      <c r="T437" s="49" t="str">
        <f ca="1">IFERROR(__xludf.DUMMYFUNCTION("""COMPUTED_VALUE"""),"Modana - Indonesia")</f>
        <v>Modana - Indonesia</v>
      </c>
      <c r="U437" s="49">
        <f ca="1">COUNTIF('Awesome People List-Master'!D:D,T437)</f>
        <v>1</v>
      </c>
      <c r="X437" s="333" t="s">
        <v>5943</v>
      </c>
      <c r="Y437" s="334">
        <v>1</v>
      </c>
      <c r="AB437" s="169">
        <f>ROUND('Awesome People List-Master'!A431,0)</f>
        <v>43930</v>
      </c>
    </row>
    <row r="438" spans="20:28" ht="13">
      <c r="T438" s="49" t="str">
        <f ca="1">IFERROR(__xludf.DUMMYFUNCTION("""COMPUTED_VALUE"""),"Live In Private Limited Company")</f>
        <v>Live In Private Limited Company</v>
      </c>
      <c r="U438" s="49">
        <f ca="1">COUNTIF('Awesome People List-Master'!D:D,T438)</f>
        <v>1</v>
      </c>
      <c r="X438" s="333" t="s">
        <v>3358</v>
      </c>
      <c r="Y438" s="334">
        <v>1</v>
      </c>
      <c r="AB438" s="169">
        <f>ROUND('Awesome People List-Master'!A432,0)</f>
        <v>43930</v>
      </c>
    </row>
    <row r="439" spans="20:28" ht="13">
      <c r="T439" s="49" t="str">
        <f ca="1">IFERROR(__xludf.DUMMYFUNCTION("""COMPUTED_VALUE"""),"Maria Health")</f>
        <v>Maria Health</v>
      </c>
      <c r="U439" s="49">
        <f ca="1">COUNTIF('Awesome People List-Master'!D:D,T439)</f>
        <v>1</v>
      </c>
      <c r="X439" s="333" t="s">
        <v>5976</v>
      </c>
      <c r="Y439" s="334">
        <v>1</v>
      </c>
      <c r="AB439" s="169">
        <f>ROUND('Awesome People List-Master'!A433,0)</f>
        <v>43930</v>
      </c>
    </row>
    <row r="440" spans="20:28" ht="13">
      <c r="T440" s="49" t="str">
        <f ca="1">IFERROR(__xludf.DUMMYFUNCTION("""COMPUTED_VALUE"""),"Aura Esport")</f>
        <v>Aura Esport</v>
      </c>
      <c r="U440" s="49">
        <f ca="1">COUNTIF('Awesome People List-Master'!D:D,T440)</f>
        <v>1</v>
      </c>
      <c r="X440" s="333" t="s">
        <v>3363</v>
      </c>
      <c r="Y440" s="334">
        <v>1</v>
      </c>
      <c r="AB440" s="169">
        <f>ROUND('Awesome People List-Master'!A434,0)</f>
        <v>43930</v>
      </c>
    </row>
    <row r="441" spans="20:28" ht="13">
      <c r="T441" s="49" t="str">
        <f ca="1">IFERROR(__xludf.DUMMYFUNCTION("""COMPUTED_VALUE"""),"Hacktiv8")</f>
        <v>Hacktiv8</v>
      </c>
      <c r="U441" s="49">
        <f ca="1">COUNTIF('Awesome People List-Master'!D:D,T441)</f>
        <v>7</v>
      </c>
      <c r="X441" s="333" t="s">
        <v>6013</v>
      </c>
      <c r="Y441" s="334">
        <v>1</v>
      </c>
      <c r="AB441" s="169">
        <f>ROUND('Awesome People List-Master'!A435,0)</f>
        <v>43930</v>
      </c>
    </row>
    <row r="442" spans="20:28" ht="13">
      <c r="T442" s="49" t="str">
        <f ca="1">IFERROR(__xludf.DUMMYFUNCTION("""COMPUTED_VALUE"""),"Insanirator")</f>
        <v>Insanirator</v>
      </c>
      <c r="U442" s="49">
        <f ca="1">COUNTIF('Awesome People List-Master'!D:D,T442)</f>
        <v>1</v>
      </c>
      <c r="X442" s="333" t="s">
        <v>4206</v>
      </c>
      <c r="Y442" s="334">
        <v>1</v>
      </c>
      <c r="AB442" s="169">
        <f>ROUND('Awesome People List-Master'!A436,0)</f>
        <v>43930</v>
      </c>
    </row>
    <row r="443" spans="20:28" ht="13">
      <c r="T443" s="49" t="str">
        <f ca="1">IFERROR(__xludf.DUMMYFUNCTION("""COMPUTED_VALUE"""),"Big Bad Wolf Books")</f>
        <v>Big Bad Wolf Books</v>
      </c>
      <c r="U443" s="49">
        <f ca="1">COUNTIF('Awesome People List-Master'!D:D,T443)</f>
        <v>1</v>
      </c>
      <c r="X443" s="333" t="s">
        <v>6045</v>
      </c>
      <c r="Y443" s="334">
        <v>1</v>
      </c>
      <c r="AB443" s="169">
        <f>ROUND('Awesome People List-Master'!A437,0)</f>
        <v>43930</v>
      </c>
    </row>
    <row r="444" spans="20:28" ht="13">
      <c r="T444" s="49" t="str">
        <f ca="1">IFERROR(__xludf.DUMMYFUNCTION("""COMPUTED_VALUE"""),"Credit Agricole CIB")</f>
        <v>Credit Agricole CIB</v>
      </c>
      <c r="U444" s="49">
        <f ca="1">COUNTIF('Awesome People List-Master'!D:D,T444)</f>
        <v>1</v>
      </c>
      <c r="X444" s="333" t="s">
        <v>4217</v>
      </c>
      <c r="Y444" s="334">
        <v>1</v>
      </c>
      <c r="AB444" s="169">
        <f>ROUND('Awesome People List-Master'!A438,0)</f>
        <v>43930</v>
      </c>
    </row>
    <row r="445" spans="20:28" ht="13">
      <c r="T445" s="49" t="str">
        <f ca="1">IFERROR(__xludf.DUMMYFUNCTION("""COMPUTED_VALUE"""),"Pawoon POS")</f>
        <v>Pawoon POS</v>
      </c>
      <c r="U445" s="49">
        <f ca="1">COUNTIF('Awesome People List-Master'!D:D,T445)</f>
        <v>1</v>
      </c>
      <c r="X445" s="333" t="s">
        <v>6091</v>
      </c>
      <c r="Y445" s="334">
        <v>1</v>
      </c>
      <c r="AB445" s="169">
        <f>ROUND('Awesome People List-Master'!A439,0)</f>
        <v>43930</v>
      </c>
    </row>
    <row r="446" spans="20:28" ht="13">
      <c r="T446" s="49" t="str">
        <f ca="1">IFERROR(__xludf.DUMMYFUNCTION("""COMPUTED_VALUE"""),"Impactgroup")</f>
        <v>Impactgroup</v>
      </c>
      <c r="U446" s="49">
        <f ca="1">COUNTIF('Awesome People List-Master'!D:D,T446)</f>
        <v>1</v>
      </c>
      <c r="X446" s="333" t="s">
        <v>4223</v>
      </c>
      <c r="Y446" s="334">
        <v>1</v>
      </c>
      <c r="AB446" s="169">
        <f>ROUND('Awesome People List-Master'!A440,0)</f>
        <v>43930</v>
      </c>
    </row>
    <row r="447" spans="20:28" ht="13">
      <c r="T447" s="49" t="str">
        <f ca="1">IFERROR(__xludf.DUMMYFUNCTION("""COMPUTED_VALUE"""),"Japan Tobacco International ")</f>
        <v xml:space="preserve">Japan Tobacco International </v>
      </c>
      <c r="U447" s="49">
        <f ca="1">COUNTIF('Awesome People List-Master'!D:D,T447)</f>
        <v>1</v>
      </c>
      <c r="X447" s="333" t="s">
        <v>6142</v>
      </c>
      <c r="Y447" s="334">
        <v>1</v>
      </c>
      <c r="AB447" s="169">
        <f>ROUND('Awesome People List-Master'!A441,0)</f>
        <v>43931</v>
      </c>
    </row>
    <row r="448" spans="20:28" ht="13">
      <c r="T448" s="49" t="str">
        <f ca="1">IFERROR(__xludf.DUMMYFUNCTION("""COMPUTED_VALUE"""),"GOTOUZBEKISTAN")</f>
        <v>GOTOUZBEKISTAN</v>
      </c>
      <c r="U448" s="49">
        <f ca="1">COUNTIF('Awesome People List-Master'!D:D,T448)</f>
        <v>1</v>
      </c>
      <c r="X448" s="333" t="s">
        <v>4234</v>
      </c>
      <c r="Y448" s="334">
        <v>1</v>
      </c>
      <c r="AB448" s="169">
        <f>ROUND('Awesome People List-Master'!A442,0)</f>
        <v>43931</v>
      </c>
    </row>
    <row r="449" spans="20:28" ht="13">
      <c r="T449" s="49" t="str">
        <f ca="1">IFERROR(__xludf.DUMMYFUNCTION("""COMPUTED_VALUE"""),"PT. Nodeflux Teknologi Indonesia")</f>
        <v>PT. Nodeflux Teknologi Indonesia</v>
      </c>
      <c r="U449" s="49">
        <f ca="1">COUNTIF('Awesome People List-Master'!D:D,T449)</f>
        <v>1</v>
      </c>
      <c r="X449" s="333" t="s">
        <v>3590</v>
      </c>
      <c r="Y449" s="334">
        <v>1</v>
      </c>
      <c r="AB449" s="169">
        <f>ROUND('Awesome People List-Master'!A443,0)</f>
        <v>43931</v>
      </c>
    </row>
    <row r="450" spans="20:28" ht="13">
      <c r="T450" s="49" t="str">
        <f ca="1">IFERROR(__xludf.DUMMYFUNCTION("""COMPUTED_VALUE"""),"Mekari PT Mid Solusi Nusantara")</f>
        <v>Mekari PT Mid Solusi Nusantara</v>
      </c>
      <c r="U450" s="49">
        <f ca="1">COUNTIF('Awesome People List-Master'!D:D,T450)</f>
        <v>1</v>
      </c>
      <c r="X450" s="333" t="s">
        <v>3370</v>
      </c>
      <c r="Y450" s="334">
        <v>1</v>
      </c>
      <c r="AB450" s="169">
        <f>ROUND('Awesome People List-Master'!A444,0)</f>
        <v>43931</v>
      </c>
    </row>
    <row r="451" spans="20:28" ht="13">
      <c r="T451" s="49" t="str">
        <f ca="1">IFERROR(__xludf.DUMMYFUNCTION("""COMPUTED_VALUE"""),"Global CxO")</f>
        <v>Global CxO</v>
      </c>
      <c r="U451" s="49">
        <f ca="1">COUNTIF('Awesome People List-Master'!D:D,T451)</f>
        <v>1</v>
      </c>
      <c r="X451" s="333" t="s">
        <v>6277</v>
      </c>
      <c r="Y451" s="334">
        <v>1</v>
      </c>
      <c r="AB451" s="169">
        <f>ROUND('Awesome People List-Master'!A445,0)</f>
        <v>43931</v>
      </c>
    </row>
    <row r="452" spans="20:28" ht="13">
      <c r="T452" s="49" t="str">
        <f ca="1">IFERROR(__xludf.DUMMYFUNCTION("""COMPUTED_VALUE"""),"PT. Indoprof Motor Sejati")</f>
        <v>PT. Indoprof Motor Sejati</v>
      </c>
      <c r="U452" s="49">
        <f ca="1">COUNTIF('Awesome People List-Master'!D:D,T452)</f>
        <v>1</v>
      </c>
      <c r="X452" s="333" t="s">
        <v>4252</v>
      </c>
      <c r="Y452" s="334">
        <v>1</v>
      </c>
      <c r="AB452" s="169">
        <f>ROUND('Awesome People List-Master'!A446,0)</f>
        <v>43931</v>
      </c>
    </row>
    <row r="453" spans="20:28" ht="13">
      <c r="T453" s="56" t="str">
        <f ca="1">IFERROR(__xludf.DUMMYFUNCTION("""COMPUTED_VALUE"""),"C3.ai")</f>
        <v>C3.ai</v>
      </c>
      <c r="U453" s="49">
        <f ca="1">COUNTIF('Awesome People List-Master'!D:D,T453)</f>
        <v>1</v>
      </c>
      <c r="X453" s="333" t="s">
        <v>6318</v>
      </c>
      <c r="Y453" s="334">
        <v>1</v>
      </c>
      <c r="AB453" s="169">
        <f>ROUND('Awesome People List-Master'!A447,0)</f>
        <v>43931</v>
      </c>
    </row>
    <row r="454" spans="20:28" ht="13">
      <c r="T454" s="49" t="str">
        <f ca="1">IFERROR(__xludf.DUMMYFUNCTION("""COMPUTED_VALUE"""),"Freelance Consultant")</f>
        <v>Freelance Consultant</v>
      </c>
      <c r="U454" s="49">
        <f ca="1">COUNTIF('Awesome People List-Master'!D:D,T454)</f>
        <v>1</v>
      </c>
      <c r="X454" s="333" t="s">
        <v>4262</v>
      </c>
      <c r="Y454" s="334">
        <v>1</v>
      </c>
      <c r="AB454" s="169">
        <f>ROUND('Awesome People List-Master'!A448,0)</f>
        <v>43931</v>
      </c>
    </row>
    <row r="455" spans="20:28" ht="13">
      <c r="T455" s="49" t="str">
        <f ca="1">IFERROR(__xludf.DUMMYFUNCTION("""COMPUTED_VALUE"""),"COHIVE")</f>
        <v>COHIVE</v>
      </c>
      <c r="U455" s="49">
        <f ca="1">COUNTIF('Awesome People List-Master'!D:D,T455)</f>
        <v>5</v>
      </c>
      <c r="X455" s="333" t="s">
        <v>6369</v>
      </c>
      <c r="Y455" s="334">
        <v>1</v>
      </c>
      <c r="AB455" s="169">
        <f>ROUND('Awesome People List-Master'!A449,0)</f>
        <v>43931</v>
      </c>
    </row>
    <row r="456" spans="20:28" ht="13">
      <c r="T456" s="49" t="str">
        <f ca="1">IFERROR(__xludf.DUMMYFUNCTION("""COMPUTED_VALUE"""),"Moneysmart.id (PT. Loangarage Indonesia)")</f>
        <v>Moneysmart.id (PT. Loangarage Indonesia)</v>
      </c>
      <c r="U456" s="49">
        <f ca="1">COUNTIF('Awesome People List-Master'!D:D,T456)</f>
        <v>1</v>
      </c>
      <c r="X456" s="333" t="s">
        <v>4270</v>
      </c>
      <c r="Y456" s="334">
        <v>1</v>
      </c>
      <c r="AB456" s="169">
        <f>ROUND('Awesome People List-Master'!A450,0)</f>
        <v>43931</v>
      </c>
    </row>
    <row r="457" spans="20:28" ht="13">
      <c r="T457" s="49" t="str">
        <f ca="1">IFERROR(__xludf.DUMMYFUNCTION("""COMPUTED_VALUE"""),"Kuaishou")</f>
        <v>Kuaishou</v>
      </c>
      <c r="U457" s="49">
        <f ca="1">COUNTIF('Awesome People List-Master'!D:D,T457)</f>
        <v>1</v>
      </c>
      <c r="X457" s="333" t="s">
        <v>6415</v>
      </c>
      <c r="Y457" s="334">
        <v>1</v>
      </c>
      <c r="AB457" s="169">
        <f>ROUND('Awesome People List-Master'!A451,0)</f>
        <v>43931</v>
      </c>
    </row>
    <row r="458" spans="20:28" ht="13">
      <c r="T458" s="49" t="str">
        <f ca="1">IFERROR(__xludf.DUMMYFUNCTION("""COMPUTED_VALUE"""),"PT Subang Autocomp Indonesa (Yazaki Corporation)")</f>
        <v>PT Subang Autocomp Indonesa (Yazaki Corporation)</v>
      </c>
      <c r="U458" s="49">
        <f ca="1">COUNTIF('Awesome People List-Master'!D:D,T458)</f>
        <v>1</v>
      </c>
      <c r="X458" s="333" t="s">
        <v>4278</v>
      </c>
      <c r="Y458" s="334">
        <v>1</v>
      </c>
      <c r="AB458" s="169">
        <f>ROUND('Awesome People List-Master'!A452,0)</f>
        <v>43931</v>
      </c>
    </row>
    <row r="459" spans="20:28" ht="13">
      <c r="T459" s="49" t="str">
        <f ca="1">IFERROR(__xludf.DUMMYFUNCTION("""COMPUTED_VALUE"""),"Julo")</f>
        <v>Julo</v>
      </c>
      <c r="U459" s="49">
        <f ca="1">COUNTIF('Awesome People List-Master'!D:D,T459)</f>
        <v>1</v>
      </c>
      <c r="X459" s="333" t="s">
        <v>6459</v>
      </c>
      <c r="Y459" s="334">
        <v>1</v>
      </c>
      <c r="AB459" s="169">
        <f>ROUND('Awesome People List-Master'!A453,0)</f>
        <v>43931</v>
      </c>
    </row>
    <row r="460" spans="20:28" ht="13">
      <c r="T460" s="49" t="str">
        <f ca="1">IFERROR(__xludf.DUMMYFUNCTION("""COMPUTED_VALUE"""),"Elliot Communications")</f>
        <v>Elliot Communications</v>
      </c>
      <c r="U460" s="49">
        <f ca="1">COUNTIF('Awesome People List-Master'!D:D,T460)</f>
        <v>1</v>
      </c>
      <c r="X460" s="333" t="s">
        <v>3263</v>
      </c>
      <c r="Y460" s="334">
        <v>1</v>
      </c>
      <c r="AB460" s="169">
        <f>ROUND('Awesome People List-Master'!A454,0)</f>
        <v>43931</v>
      </c>
    </row>
    <row r="461" spans="20:28" ht="13">
      <c r="T461" s="49" t="str">
        <f ca="1">IFERROR(__xludf.DUMMYFUNCTION("""COMPUTED_VALUE"""),"Dimo Pay (Traveloka Group) ")</f>
        <v xml:space="preserve">Dimo Pay (Traveloka Group) </v>
      </c>
      <c r="U461" s="49">
        <f ca="1">COUNTIF('Awesome People List-Master'!D:D,T461)</f>
        <v>2</v>
      </c>
      <c r="X461" s="333" t="s">
        <v>6514</v>
      </c>
      <c r="Y461" s="334">
        <v>1</v>
      </c>
      <c r="AB461" s="169">
        <f>ROUND('Awesome People List-Master'!A455,0)</f>
        <v>43931</v>
      </c>
    </row>
    <row r="462" spans="20:28" ht="13">
      <c r="T462" s="49" t="str">
        <f ca="1">IFERROR(__xludf.DUMMYFUNCTION("""COMPUTED_VALUE"""),"PT Akulaku Finance Indonesia")</f>
        <v>PT Akulaku Finance Indonesia</v>
      </c>
      <c r="U462" s="49">
        <f ca="1">COUNTIF('Awesome People List-Master'!D:D,T462)</f>
        <v>1</v>
      </c>
      <c r="X462" s="333" t="s">
        <v>4295</v>
      </c>
      <c r="Y462" s="334">
        <v>1</v>
      </c>
      <c r="AB462" s="169">
        <f>ROUND('Awesome People List-Master'!A456,0)</f>
        <v>43931</v>
      </c>
    </row>
    <row r="463" spans="20:28" ht="13">
      <c r="T463" s="49" t="str">
        <f ca="1">IFERROR(__xludf.DUMMYFUNCTION("""COMPUTED_VALUE"""),"Dimo Pay Indonesia")</f>
        <v>Dimo Pay Indonesia</v>
      </c>
      <c r="U463" s="49">
        <f ca="1">COUNTIF('Awesome People List-Master'!D:D,T463)</f>
        <v>2</v>
      </c>
      <c r="X463" s="333" t="s">
        <v>5000</v>
      </c>
      <c r="Y463" s="334">
        <v>1</v>
      </c>
      <c r="AB463" s="169">
        <f>ROUND('Awesome People List-Master'!A457,0)</f>
        <v>43931</v>
      </c>
    </row>
    <row r="464" spans="20:28" ht="13">
      <c r="T464" s="49" t="str">
        <f ca="1">IFERROR(__xludf.DUMMYFUNCTION("""COMPUTED_VALUE"""),"AI Love Venture")</f>
        <v>AI Love Venture</v>
      </c>
      <c r="U464" s="49">
        <f ca="1">COUNTIF('Awesome People List-Master'!D:D,T464)</f>
        <v>1</v>
      </c>
      <c r="X464" s="333" t="s">
        <v>4307</v>
      </c>
      <c r="Y464" s="334">
        <v>1</v>
      </c>
      <c r="AB464" s="169">
        <f>ROUND('Awesome People List-Master'!A458,0)</f>
        <v>43931</v>
      </c>
    </row>
    <row r="465" spans="20:28" ht="13">
      <c r="T465" s="49" t="str">
        <f ca="1">IFERROR(__xludf.DUMMYFUNCTION("""COMPUTED_VALUE"""),"Wujudkan Indonesia")</f>
        <v>Wujudkan Indonesia</v>
      </c>
      <c r="U465" s="49">
        <f ca="1">COUNTIF('Awesome People List-Master'!D:D,T465)</f>
        <v>1</v>
      </c>
      <c r="X465" s="333" t="s">
        <v>5044</v>
      </c>
      <c r="Y465" s="334">
        <v>1</v>
      </c>
      <c r="AB465" s="169">
        <f>ROUND('Awesome People List-Master'!A459,0)</f>
        <v>43931</v>
      </c>
    </row>
    <row r="466" spans="20:28" ht="13">
      <c r="T466" s="49" t="str">
        <f ca="1">IFERROR(__xludf.DUMMYFUNCTION("""COMPUTED_VALUE"""),"Qwikfab")</f>
        <v>Qwikfab</v>
      </c>
      <c r="U466" s="49">
        <f ca="1">COUNTIF('Awesome People List-Master'!D:D,T466)</f>
        <v>1</v>
      </c>
      <c r="X466" s="333" t="s">
        <v>4321</v>
      </c>
      <c r="Y466" s="334">
        <v>1</v>
      </c>
      <c r="AB466" s="169">
        <f>ROUND('Awesome People List-Master'!A460,0)</f>
        <v>43932</v>
      </c>
    </row>
    <row r="467" spans="20:28" ht="13">
      <c r="T467" s="49" t="str">
        <f ca="1">IFERROR(__xludf.DUMMYFUNCTION("""COMPUTED_VALUE"""),"Smove System Pte Ltd")</f>
        <v>Smove System Pte Ltd</v>
      </c>
      <c r="U467" s="49">
        <f ca="1">COUNTIF('Awesome People List-Master'!D:D,T467)</f>
        <v>2</v>
      </c>
      <c r="X467" s="333" t="s">
        <v>3431</v>
      </c>
      <c r="Y467" s="334">
        <v>1</v>
      </c>
      <c r="AB467" s="169">
        <f>ROUND('Awesome People List-Master'!A461,0)</f>
        <v>43932</v>
      </c>
    </row>
    <row r="468" spans="20:28" ht="13">
      <c r="T468" s="49" t="str">
        <f ca="1">IFERROR(__xludf.DUMMYFUNCTION("""COMPUTED_VALUE"""),"PT. Indopay Merchant Services")</f>
        <v>PT. Indopay Merchant Services</v>
      </c>
      <c r="U468" s="49">
        <f ca="1">COUNTIF('Awesome People List-Master'!D:D,T468)</f>
        <v>1</v>
      </c>
      <c r="X468" s="333" t="s">
        <v>4331</v>
      </c>
      <c r="Y468" s="334">
        <v>1</v>
      </c>
      <c r="AB468" s="169">
        <f>ROUND('Awesome People List-Master'!A462,0)</f>
        <v>43932</v>
      </c>
    </row>
    <row r="469" spans="20:28" ht="13">
      <c r="T469" s="49" t="str">
        <f ca="1">IFERROR(__xludf.DUMMYFUNCTION("""COMPUTED_VALUE"""),"Metro Central Mall Inc. &amp; MS Department Store Inc.")</f>
        <v>Metro Central Mall Inc. &amp; MS Department Store Inc.</v>
      </c>
      <c r="U469" s="49">
        <f ca="1">COUNTIF('Awesome People List-Master'!D:D,T469)</f>
        <v>1</v>
      </c>
      <c r="X469" s="333" t="s">
        <v>5155</v>
      </c>
      <c r="Y469" s="334">
        <v>1</v>
      </c>
      <c r="AB469" s="169">
        <f>ROUND('Awesome People List-Master'!A463,0)</f>
        <v>43932</v>
      </c>
    </row>
    <row r="470" spans="20:28" ht="13">
      <c r="T470" s="49" t="str">
        <f ca="1">IFERROR(__xludf.DUMMYFUNCTION("""COMPUTED_VALUE"""),"KoinWorks")</f>
        <v>KoinWorks</v>
      </c>
      <c r="U470" s="49">
        <f ca="1">COUNTIF('Awesome People List-Master'!D:D,T470)</f>
        <v>6</v>
      </c>
      <c r="X470" s="333" t="s">
        <v>3394</v>
      </c>
      <c r="Y470" s="334">
        <v>1</v>
      </c>
      <c r="AB470" s="169">
        <f>ROUND('Awesome People List-Master'!A464,0)</f>
        <v>43932</v>
      </c>
    </row>
    <row r="471" spans="20:28" ht="13">
      <c r="T471" s="49" t="str">
        <f ca="1">IFERROR(__xludf.DUMMYFUNCTION("""COMPUTED_VALUE"""),"Mnubo")</f>
        <v>Mnubo</v>
      </c>
      <c r="U471" s="49">
        <f ca="1">COUNTIF('Awesome People List-Master'!D:D,T471)</f>
        <v>1</v>
      </c>
      <c r="X471" s="333" t="s">
        <v>3440</v>
      </c>
      <c r="Y471" s="334">
        <v>1</v>
      </c>
      <c r="AB471" s="169">
        <f>ROUND('Awesome People List-Master'!A465,0)</f>
        <v>43932</v>
      </c>
    </row>
    <row r="472" spans="20:28" ht="13">
      <c r="T472" s="49" t="str">
        <f ca="1">IFERROR(__xludf.DUMMYFUNCTION("""COMPUTED_VALUE"""),"Pegipegi")</f>
        <v>Pegipegi</v>
      </c>
      <c r="U472" s="49">
        <f ca="1">COUNTIF('Awesome People List-Master'!D:D,T472)</f>
        <v>2</v>
      </c>
      <c r="X472" s="333" t="s">
        <v>4346</v>
      </c>
      <c r="Y472" s="334">
        <v>1</v>
      </c>
      <c r="AB472" s="169">
        <f>ROUND('Awesome People List-Master'!A466,0)</f>
        <v>43932</v>
      </c>
    </row>
    <row r="473" spans="20:28" ht="13">
      <c r="T473" s="56" t="str">
        <f ca="1">IFERROR(__xludf.DUMMYFUNCTION("""COMPUTED_VALUE"""),"Mobilkamu.com")</f>
        <v>Mobilkamu.com</v>
      </c>
      <c r="U473" s="49">
        <f ca="1">COUNTIF('Awesome People List-Master'!D:D,T473)</f>
        <v>3</v>
      </c>
      <c r="X473" s="333" t="s">
        <v>3459</v>
      </c>
      <c r="Y473" s="334">
        <v>1</v>
      </c>
      <c r="AB473" s="169">
        <f>ROUND('Awesome People List-Master'!A467,0)</f>
        <v>43932</v>
      </c>
    </row>
    <row r="474" spans="20:28" ht="13">
      <c r="T474" s="49" t="str">
        <f ca="1">IFERROR(__xludf.DUMMYFUNCTION("""COMPUTED_VALUE"""),"GoQuo")</f>
        <v>GoQuo</v>
      </c>
      <c r="U474" s="49">
        <f ca="1">COUNTIF('Awesome People List-Master'!D:D,T474)</f>
        <v>6</v>
      </c>
      <c r="X474" s="333" t="s">
        <v>4378</v>
      </c>
      <c r="Y474" s="334">
        <v>1</v>
      </c>
      <c r="AB474" s="169">
        <f>ROUND('Awesome People List-Master'!A468,0)</f>
        <v>43932</v>
      </c>
    </row>
    <row r="475" spans="20:28" ht="13">
      <c r="T475" s="49" t="str">
        <f ca="1">IFERROR(__xludf.DUMMYFUNCTION("""COMPUTED_VALUE"""),"The Light Agency")</f>
        <v>The Light Agency</v>
      </c>
      <c r="U475" s="49">
        <f ca="1">COUNTIF('Awesome People List-Master'!D:D,T475)</f>
        <v>1</v>
      </c>
      <c r="X475" s="333" t="s">
        <v>5242</v>
      </c>
      <c r="Y475" s="334">
        <v>1</v>
      </c>
      <c r="AB475" s="169">
        <f>ROUND('Awesome People List-Master'!A469,0)</f>
        <v>43932</v>
      </c>
    </row>
    <row r="476" spans="20:28" ht="13">
      <c r="T476" s="49" t="str">
        <f ca="1">IFERROR(__xludf.DUMMYFUNCTION("""COMPUTED_VALUE"""),"DataOn")</f>
        <v>DataOn</v>
      </c>
      <c r="U476" s="49">
        <f ca="1">COUNTIF('Awesome People List-Master'!D:D,T476)</f>
        <v>1</v>
      </c>
      <c r="X476" s="333" t="s">
        <v>4389</v>
      </c>
      <c r="Y476" s="334">
        <v>1</v>
      </c>
      <c r="AB476" s="169">
        <f>ROUND('Awesome People List-Master'!A470,0)</f>
        <v>43932</v>
      </c>
    </row>
    <row r="477" spans="20:28" ht="13">
      <c r="T477" s="49" t="str">
        <f ca="1">IFERROR(__xludf.DUMMYFUNCTION("""COMPUTED_VALUE"""),"HeyBryan (Prev. Sony PlayStation)")</f>
        <v>HeyBryan (Prev. Sony PlayStation)</v>
      </c>
      <c r="U477" s="49">
        <f ca="1">COUNTIF('Awesome People List-Master'!D:D,T477)</f>
        <v>1</v>
      </c>
      <c r="X477" s="333" t="s">
        <v>5266</v>
      </c>
      <c r="Y477" s="334">
        <v>1</v>
      </c>
      <c r="AB477" s="169">
        <f>ROUND('Awesome People List-Master'!A471,0)</f>
        <v>43932</v>
      </c>
    </row>
    <row r="478" spans="20:28" ht="13">
      <c r="T478" s="49" t="str">
        <f ca="1">IFERROR(__xludf.DUMMYFUNCTION("""COMPUTED_VALUE"""),"Bespokify (fashion-tech)")</f>
        <v>Bespokify (fashion-tech)</v>
      </c>
      <c r="U478" s="49">
        <f ca="1">COUNTIF('Awesome People List-Master'!D:D,T478)</f>
        <v>1</v>
      </c>
      <c r="X478" s="333" t="s">
        <v>3404</v>
      </c>
      <c r="Y478" s="334">
        <v>1</v>
      </c>
      <c r="AB478" s="169">
        <f>ROUND('Awesome People List-Master'!A472,0)</f>
        <v>43932</v>
      </c>
    </row>
    <row r="479" spans="20:28" ht="13">
      <c r="T479" s="49" t="str">
        <f ca="1">IFERROR(__xludf.DUMMYFUNCTION("""COMPUTED_VALUE"""),"CIAYO")</f>
        <v>CIAYO</v>
      </c>
      <c r="U479" s="49">
        <f ca="1">COUNTIF('Awesome People List-Master'!D:D,T479)</f>
        <v>2</v>
      </c>
      <c r="X479" s="333" t="s">
        <v>5287</v>
      </c>
      <c r="Y479" s="334">
        <v>1</v>
      </c>
      <c r="AB479" s="169">
        <f>ROUND('Awesome People List-Master'!A473,0)</f>
        <v>43932</v>
      </c>
    </row>
    <row r="480" spans="20:28" ht="13">
      <c r="T480" s="49" t="str">
        <f ca="1">IFERROR(__xludf.DUMMYFUNCTION("""COMPUTED_VALUE"""),"Blue Mirror Pte Ltd")</f>
        <v>Blue Mirror Pte Ltd</v>
      </c>
      <c r="U480" s="49">
        <f ca="1">COUNTIF('Awesome People List-Master'!D:D,T480)</f>
        <v>1</v>
      </c>
      <c r="X480" s="333" t="s">
        <v>4406</v>
      </c>
      <c r="Y480" s="334">
        <v>1</v>
      </c>
      <c r="AB480" s="169">
        <f>ROUND('Awesome People List-Master'!A474,0)</f>
        <v>43933</v>
      </c>
    </row>
    <row r="481" spans="20:28" ht="13">
      <c r="T481" s="49" t="str">
        <f ca="1">IFERROR(__xludf.DUMMYFUNCTION("""COMPUTED_VALUE"""),"PT WIN ELECTROINDO HEAT")</f>
        <v>PT WIN ELECTROINDO HEAT</v>
      </c>
      <c r="U481" s="49">
        <f ca="1">COUNTIF('Awesome People List-Master'!D:D,T481)</f>
        <v>1</v>
      </c>
      <c r="X481" s="333" t="s">
        <v>5303</v>
      </c>
      <c r="Y481" s="334">
        <v>1</v>
      </c>
      <c r="AB481" s="169">
        <f>ROUND('Awesome People List-Master'!A475,0)</f>
        <v>43933</v>
      </c>
    </row>
    <row r="482" spans="20:28" ht="13">
      <c r="T482" s="49" t="str">
        <f ca="1">IFERROR(__xludf.DUMMYFUNCTION("""COMPUTED_VALUE"""),"PT. Indodev Niaga Internet")</f>
        <v>PT. Indodev Niaga Internet</v>
      </c>
      <c r="U482" s="49">
        <f ca="1">COUNTIF('Awesome People List-Master'!D:D,T482)</f>
        <v>1</v>
      </c>
      <c r="X482" s="333" t="s">
        <v>4416</v>
      </c>
      <c r="Y482" s="334">
        <v>1</v>
      </c>
      <c r="AB482" s="169">
        <f>ROUND('Awesome People List-Master'!A476,0)</f>
        <v>43933</v>
      </c>
    </row>
    <row r="483" spans="20:28" ht="13">
      <c r="T483" s="49" t="str">
        <f ca="1">IFERROR(__xludf.DUMMYFUNCTION("""COMPUTED_VALUE"""),"PT. Lunaria Annua Teknologi")</f>
        <v>PT. Lunaria Annua Teknologi</v>
      </c>
      <c r="U483" s="49">
        <f ca="1">COUNTIF('Awesome People List-Master'!D:D,T483)</f>
        <v>1</v>
      </c>
      <c r="X483" s="333" t="s">
        <v>5337</v>
      </c>
      <c r="Y483" s="334">
        <v>1</v>
      </c>
      <c r="AB483" s="169">
        <f>ROUND('Awesome People List-Master'!A477,0)</f>
        <v>43933</v>
      </c>
    </row>
    <row r="484" spans="20:28" ht="13">
      <c r="T484" s="49" t="str">
        <f ca="1">IFERROR(__xludf.DUMMYFUNCTION("""COMPUTED_VALUE"""),"Hostel Hunting Sdn Bhd")</f>
        <v>Hostel Hunting Sdn Bhd</v>
      </c>
      <c r="U484" s="49">
        <f ca="1">COUNTIF('Awesome People List-Master'!D:D,T484)</f>
        <v>1</v>
      </c>
      <c r="X484" s="333" t="s">
        <v>4425</v>
      </c>
      <c r="Y484" s="334">
        <v>1</v>
      </c>
      <c r="AB484" s="169">
        <f>ROUND('Awesome People List-Master'!A478,0)</f>
        <v>43933</v>
      </c>
    </row>
    <row r="485" spans="20:28" ht="13">
      <c r="T485" s="49" t="str">
        <f ca="1">IFERROR(__xludf.DUMMYFUNCTION("""COMPUTED_VALUE"""),"Q8 Pte Ltd")</f>
        <v>Q8 Pte Ltd</v>
      </c>
      <c r="U485" s="49">
        <f ca="1">COUNTIF('Awesome People List-Master'!D:D,T485)</f>
        <v>1</v>
      </c>
      <c r="X485" s="333" t="s">
        <v>5370</v>
      </c>
      <c r="Y485" s="334">
        <v>1</v>
      </c>
      <c r="AB485" s="169">
        <f>ROUND('Awesome People List-Master'!A479,0)</f>
        <v>43933</v>
      </c>
    </row>
    <row r="486" spans="20:28" ht="13">
      <c r="T486" s="49" t="str">
        <f ca="1">IFERROR(__xludf.DUMMYFUNCTION("""COMPUTED_VALUE"""),"Airy Indonesia")</f>
        <v>Airy Indonesia</v>
      </c>
      <c r="U486" s="49">
        <f ca="1">COUNTIF('Awesome People List-Master'!D:D,T486)</f>
        <v>1</v>
      </c>
      <c r="X486" s="333" t="s">
        <v>4430</v>
      </c>
      <c r="Y486" s="334">
        <v>1</v>
      </c>
      <c r="AB486" s="169">
        <f>ROUND('Awesome People List-Master'!A480,0)</f>
        <v>43933</v>
      </c>
    </row>
    <row r="487" spans="20:28" ht="13">
      <c r="T487" s="49" t="str">
        <f ca="1">IFERROR(__xludf.DUMMYFUNCTION("""COMPUTED_VALUE"""),"PT Bukit Makmur Mandiri Utama")</f>
        <v>PT Bukit Makmur Mandiri Utama</v>
      </c>
      <c r="U487" s="49">
        <f ca="1">COUNTIF('Awesome People List-Master'!D:D,T487)</f>
        <v>1</v>
      </c>
      <c r="X487" s="333" t="s">
        <v>5413</v>
      </c>
      <c r="Y487" s="334">
        <v>1</v>
      </c>
      <c r="AB487" s="169">
        <f>ROUND('Awesome People List-Master'!A481,0)</f>
        <v>43933</v>
      </c>
    </row>
    <row r="488" spans="20:28" ht="13">
      <c r="T488" s="49" t="str">
        <f ca="1">IFERROR(__xludf.DUMMYFUNCTION("""COMPUTED_VALUE"""),"TTwoWeb")</f>
        <v>TTwoWeb</v>
      </c>
      <c r="U488" s="49">
        <f ca="1">COUNTIF('Awesome People List-Master'!D:D,T488)</f>
        <v>1</v>
      </c>
      <c r="X488" s="333" t="s">
        <v>4451</v>
      </c>
      <c r="Y488" s="334">
        <v>1</v>
      </c>
      <c r="AB488" s="169">
        <f>ROUND('Awesome People List-Master'!A482,0)</f>
        <v>43933</v>
      </c>
    </row>
    <row r="489" spans="20:28" ht="13">
      <c r="T489" s="49" t="str">
        <f ca="1">IFERROR(__xludf.DUMMYFUNCTION("""COMPUTED_VALUE"""),"Bounce")</f>
        <v>Bounce</v>
      </c>
      <c r="U489" s="49">
        <f ca="1">COUNTIF('Awesome People List-Master'!D:D,T489)</f>
        <v>1</v>
      </c>
      <c r="X489" s="333" t="s">
        <v>5430</v>
      </c>
      <c r="Y489" s="334">
        <v>1</v>
      </c>
      <c r="AB489" s="169">
        <f>ROUND('Awesome People List-Master'!A483,0)</f>
        <v>43933</v>
      </c>
    </row>
    <row r="490" spans="20:28" ht="13">
      <c r="T490" s="49" t="str">
        <f ca="1">IFERROR(__xludf.DUMMYFUNCTION("""COMPUTED_VALUE"""),"iSeller")</f>
        <v>iSeller</v>
      </c>
      <c r="U490" s="49">
        <f ca="1">COUNTIF('Awesome People List-Master'!D:D,T490)</f>
        <v>1</v>
      </c>
      <c r="X490" s="333" t="s">
        <v>4460</v>
      </c>
      <c r="Y490" s="334">
        <v>1</v>
      </c>
      <c r="AB490" s="169">
        <f>ROUND('Awesome People List-Master'!A484,0)</f>
        <v>43933</v>
      </c>
    </row>
    <row r="491" spans="20:28" ht="13">
      <c r="T491" s="49" t="str">
        <f ca="1">IFERROR(__xludf.DUMMYFUNCTION("""COMPUTED_VALUE"""),"Populus Financial Group")</f>
        <v>Populus Financial Group</v>
      </c>
      <c r="U491" s="49">
        <f ca="1">COUNTIF('Awesome People List-Master'!D:D,T491)</f>
        <v>1</v>
      </c>
      <c r="X491" s="333" t="s">
        <v>5451</v>
      </c>
      <c r="Y491" s="334">
        <v>1</v>
      </c>
      <c r="AB491" s="169">
        <f>ROUND('Awesome People List-Master'!A485,0)</f>
        <v>43933</v>
      </c>
    </row>
    <row r="492" spans="20:28" ht="13">
      <c r="T492" s="49" t="str">
        <f ca="1">IFERROR(__xludf.DUMMYFUNCTION("""COMPUTED_VALUE"""),"Advance AI")</f>
        <v>Advance AI</v>
      </c>
      <c r="U492" s="49">
        <f ca="1">COUNTIF('Awesome People List-Master'!D:D,T492)</f>
        <v>1</v>
      </c>
      <c r="X492" s="333" t="s">
        <v>4469</v>
      </c>
      <c r="Y492" s="334">
        <v>1</v>
      </c>
      <c r="AB492" s="169">
        <f>ROUND('Awesome People List-Master'!A486,0)</f>
        <v>43933</v>
      </c>
    </row>
    <row r="493" spans="20:28" ht="13">
      <c r="T493" s="49" t="str">
        <f ca="1">IFERROR(__xludf.DUMMYFUNCTION("""COMPUTED_VALUE"""),"HYPE Asia")</f>
        <v>HYPE Asia</v>
      </c>
      <c r="U493" s="49">
        <f ca="1">COUNTIF('Awesome People List-Master'!D:D,T493)</f>
        <v>1</v>
      </c>
      <c r="X493" s="333" t="s">
        <v>5510</v>
      </c>
      <c r="Y493" s="334">
        <v>1</v>
      </c>
      <c r="AB493" s="169">
        <f>ROUND('Awesome People List-Master'!A487,0)</f>
        <v>43933</v>
      </c>
    </row>
    <row r="494" spans="20:28" ht="13">
      <c r="T494" s="49" t="str">
        <f ca="1">IFERROR(__xludf.DUMMYFUNCTION("""COMPUTED_VALUE"""),"PT Nodeflux Teknologi Indonesia")</f>
        <v>PT Nodeflux Teknologi Indonesia</v>
      </c>
      <c r="U494" s="49">
        <f ca="1">COUNTIF('Awesome People List-Master'!D:D,T494)</f>
        <v>1</v>
      </c>
      <c r="X494" s="333" t="s">
        <v>4479</v>
      </c>
      <c r="Y494" s="334">
        <v>1</v>
      </c>
      <c r="AB494" s="169">
        <f>ROUND('Awesome People List-Master'!A488,0)</f>
        <v>43933</v>
      </c>
    </row>
    <row r="495" spans="20:28" ht="13">
      <c r="T495" s="49" t="str">
        <f ca="1">IFERROR(__xludf.DUMMYFUNCTION("""COMPUTED_VALUE"""),"LR-Group")</f>
        <v>LR-Group</v>
      </c>
      <c r="U495" s="49">
        <f ca="1">COUNTIF('Awesome People List-Master'!D:D,T495)</f>
        <v>1</v>
      </c>
      <c r="X495" s="333" t="s">
        <v>5527</v>
      </c>
      <c r="Y495" s="334">
        <v>1</v>
      </c>
      <c r="AB495" s="169">
        <f>ROUND('Awesome People List-Master'!A489,0)</f>
        <v>43933</v>
      </c>
    </row>
    <row r="496" spans="20:28" ht="13">
      <c r="T496" s="49" t="str">
        <f ca="1">IFERROR(__xludf.DUMMYFUNCTION("""COMPUTED_VALUE"""),"FreeState")</f>
        <v>FreeState</v>
      </c>
      <c r="U496" s="49">
        <f ca="1">COUNTIF('Awesome People List-Master'!D:D,T496)</f>
        <v>1</v>
      </c>
      <c r="X496" s="333" t="s">
        <v>4492</v>
      </c>
      <c r="Y496" s="334">
        <v>1</v>
      </c>
      <c r="AB496" s="169">
        <f>ROUND('Awesome People List-Master'!A490,0)</f>
        <v>43933</v>
      </c>
    </row>
    <row r="497" spans="20:28" ht="13">
      <c r="T497" s="49" t="str">
        <f ca="1">IFERROR(__xludf.DUMMYFUNCTION("""COMPUTED_VALUE"""),"Race Academy ")</f>
        <v xml:space="preserve">Race Academy </v>
      </c>
      <c r="U497" s="49">
        <f ca="1">COUNTIF('Awesome People List-Master'!D:D,T497)</f>
        <v>1</v>
      </c>
      <c r="X497" s="333" t="s">
        <v>3489</v>
      </c>
      <c r="Y497" s="334">
        <v>1</v>
      </c>
      <c r="AB497" s="169">
        <f>ROUND('Awesome People List-Master'!A491,0)</f>
        <v>43934</v>
      </c>
    </row>
    <row r="498" spans="20:28" ht="13">
      <c r="T498" s="49" t="str">
        <f ca="1">IFERROR(__xludf.DUMMYFUNCTION("""COMPUTED_VALUE"""),"IBM Indonesia")</f>
        <v>IBM Indonesia</v>
      </c>
      <c r="U498" s="49">
        <f ca="1">COUNTIF('Awesome People List-Master'!D:D,T498)</f>
        <v>1</v>
      </c>
      <c r="X498" s="333" t="s">
        <v>4500</v>
      </c>
      <c r="Y498" s="334">
        <v>1</v>
      </c>
      <c r="AB498" s="169">
        <f>ROUND('Awesome People List-Master'!A492,0)</f>
        <v>43934</v>
      </c>
    </row>
    <row r="499" spans="20:28" ht="13">
      <c r="T499" s="49" t="str">
        <f ca="1">IFERROR(__xludf.DUMMYFUNCTION("""COMPUTED_VALUE"""),"NTUC Foodfare")</f>
        <v>NTUC Foodfare</v>
      </c>
      <c r="U499" s="49">
        <f ca="1">COUNTIF('Awesome People List-Master'!D:D,T499)</f>
        <v>1</v>
      </c>
      <c r="X499" s="333" t="s">
        <v>3503</v>
      </c>
      <c r="Y499" s="334">
        <v>1</v>
      </c>
      <c r="AB499" s="169">
        <f>ROUND('Awesome People List-Master'!A493,0)</f>
        <v>43934</v>
      </c>
    </row>
    <row r="500" spans="20:28" ht="13">
      <c r="T500" s="49" t="str">
        <f ca="1">IFERROR(__xludf.DUMMYFUNCTION("""COMPUTED_VALUE"""),"Polarr")</f>
        <v>Polarr</v>
      </c>
      <c r="U500" s="49">
        <f ca="1">COUNTIF('Awesome People List-Master'!D:D,T500)</f>
        <v>1</v>
      </c>
      <c r="X500" s="333" t="s">
        <v>4507</v>
      </c>
      <c r="Y500" s="334">
        <v>1</v>
      </c>
      <c r="AB500" s="169">
        <f>ROUND('Awesome People List-Master'!A494,0)</f>
        <v>43934</v>
      </c>
    </row>
    <row r="501" spans="20:28" ht="13">
      <c r="T501" s="49" t="str">
        <f ca="1">IFERROR(__xludf.DUMMYFUNCTION("""COMPUTED_VALUE"""),"PT.OYO Rooms Indonesia")</f>
        <v>PT.OYO Rooms Indonesia</v>
      </c>
      <c r="U501" s="49">
        <f ca="1">COUNTIF('Awesome People List-Master'!D:D,T501)</f>
        <v>1</v>
      </c>
      <c r="X501" s="333" t="s">
        <v>5608</v>
      </c>
      <c r="Y501" s="334">
        <v>1</v>
      </c>
      <c r="AB501" s="169">
        <f>ROUND('Awesome People List-Master'!A495,0)</f>
        <v>43934</v>
      </c>
    </row>
    <row r="502" spans="20:28" ht="13">
      <c r="T502" s="49" t="str">
        <f ca="1">IFERROR(__xludf.DUMMYFUNCTION("""COMPUTED_VALUE"""),"TotallyAwesome")</f>
        <v>TotallyAwesome</v>
      </c>
      <c r="U502" s="49">
        <f ca="1">COUNTIF('Awesome People List-Master'!D:D,T502)</f>
        <v>1</v>
      </c>
      <c r="X502" s="333" t="s">
        <v>4518</v>
      </c>
      <c r="Y502" s="334">
        <v>1</v>
      </c>
      <c r="AB502" s="169">
        <f>ROUND('Awesome People List-Master'!A496,0)</f>
        <v>43934</v>
      </c>
    </row>
    <row r="503" spans="20:28" ht="13">
      <c r="T503" s="49" t="str">
        <f ca="1">IFERROR(__xludf.DUMMYFUNCTION("""COMPUTED_VALUE"""),"Target Media Nusantara")</f>
        <v>Target Media Nusantara</v>
      </c>
      <c r="U503" s="49">
        <f ca="1">COUNTIF('Awesome People List-Master'!D:D,T503)</f>
        <v>1</v>
      </c>
      <c r="X503" s="333" t="s">
        <v>3520</v>
      </c>
      <c r="Y503" s="334">
        <v>1</v>
      </c>
      <c r="AB503" s="169">
        <f>ROUND('Awesome People List-Master'!A497,0)</f>
        <v>43934</v>
      </c>
    </row>
    <row r="504" spans="20:28" ht="13">
      <c r="T504" s="49" t="str">
        <f ca="1">IFERROR(__xludf.DUMMYFUNCTION("""COMPUTED_VALUE"""),"Tix ID")</f>
        <v>Tix ID</v>
      </c>
      <c r="U504" s="49">
        <f ca="1">COUNTIF('Awesome People List-Master'!D:D,T504)</f>
        <v>2</v>
      </c>
      <c r="X504" s="333" t="s">
        <v>4530</v>
      </c>
      <c r="Y504" s="334">
        <v>1</v>
      </c>
      <c r="AB504" s="169">
        <f>ROUND('Awesome People List-Master'!A498,0)</f>
        <v>43934</v>
      </c>
    </row>
    <row r="505" spans="20:28" ht="13">
      <c r="T505" s="49" t="str">
        <f ca="1">IFERROR(__xludf.DUMMYFUNCTION("""COMPUTED_VALUE"""),"Fuse Teknologi")</f>
        <v>Fuse Teknologi</v>
      </c>
      <c r="U505" s="49">
        <f ca="1">COUNTIF('Awesome People List-Master'!D:D,T505)</f>
        <v>1</v>
      </c>
      <c r="X505" s="333" t="s">
        <v>5662</v>
      </c>
      <c r="Y505" s="334">
        <v>1</v>
      </c>
      <c r="AB505" s="169">
        <f>ROUND('Awesome People List-Master'!A499,0)</f>
        <v>43934</v>
      </c>
    </row>
    <row r="506" spans="20:28" ht="13">
      <c r="T506" s="49" t="str">
        <f ca="1">IFERROR(__xludf.DUMMYFUNCTION("""COMPUTED_VALUE"""),"United Test &amp; Assembly Corporation ")</f>
        <v xml:space="preserve">United Test &amp; Assembly Corporation </v>
      </c>
      <c r="U506" s="49">
        <f ca="1">COUNTIF('Awesome People List-Master'!D:D,T506)</f>
        <v>1</v>
      </c>
      <c r="X506" s="333" t="s">
        <v>4537</v>
      </c>
      <c r="Y506" s="334">
        <v>1</v>
      </c>
      <c r="AB506" s="169">
        <f>ROUND('Awesome People List-Master'!A500,0)</f>
        <v>43934</v>
      </c>
    </row>
    <row r="507" spans="20:28" ht="13">
      <c r="T507" s="49" t="str">
        <f ca="1">IFERROR(__xludf.DUMMYFUNCTION("""COMPUTED_VALUE"""),"Urbanhire")</f>
        <v>Urbanhire</v>
      </c>
      <c r="U507" s="49">
        <f ca="1">COUNTIF('Awesome People List-Master'!D:D,T507)</f>
        <v>1</v>
      </c>
      <c r="X507" s="333" t="s">
        <v>5700</v>
      </c>
      <c r="Y507" s="334">
        <v>1</v>
      </c>
      <c r="AB507" s="169">
        <f>ROUND('Awesome People List-Master'!A501,0)</f>
        <v>43934</v>
      </c>
    </row>
    <row r="508" spans="20:28" ht="13">
      <c r="T508" s="49" t="str">
        <f ca="1">IFERROR(__xludf.DUMMYFUNCTION("""COMPUTED_VALUE"""),"PT. Panen Lestari Indonesia")</f>
        <v>PT. Panen Lestari Indonesia</v>
      </c>
      <c r="U508" s="49">
        <f ca="1">COUNTIF('Awesome People List-Master'!D:D,T508)</f>
        <v>1</v>
      </c>
      <c r="X508" s="333" t="s">
        <v>4545</v>
      </c>
      <c r="Y508" s="334">
        <v>1</v>
      </c>
      <c r="AB508" s="169">
        <f>ROUND('Awesome People List-Master'!A502,0)</f>
        <v>43934</v>
      </c>
    </row>
    <row r="509" spans="20:28" ht="13">
      <c r="T509" s="49" t="str">
        <f ca="1">IFERROR(__xludf.DUMMYFUNCTION("""COMPUTED_VALUE"""),"United test and Assembly Corporation ")</f>
        <v xml:space="preserve">United test and Assembly Corporation </v>
      </c>
      <c r="U509" s="49">
        <f ca="1">COUNTIF('Awesome People List-Master'!D:D,T509)</f>
        <v>1</v>
      </c>
      <c r="X509" s="333" t="s">
        <v>3286</v>
      </c>
      <c r="Y509" s="334">
        <v>1</v>
      </c>
      <c r="AB509" s="169">
        <f>ROUND('Awesome People List-Master'!A503,0)</f>
        <v>43934</v>
      </c>
    </row>
    <row r="510" spans="20:28" ht="13">
      <c r="T510" s="49" t="str">
        <f ca="1">IFERROR(__xludf.DUMMYFUNCTION("""COMPUTED_VALUE"""),"Endeavor standard")</f>
        <v>Endeavor standard</v>
      </c>
      <c r="U510" s="49">
        <f ca="1">COUNTIF('Awesome People List-Master'!D:D,T510)</f>
        <v>1</v>
      </c>
      <c r="X510" s="333" t="s">
        <v>4554</v>
      </c>
      <c r="Y510" s="334">
        <v>1</v>
      </c>
      <c r="AB510" s="169">
        <f>ROUND('Awesome People List-Master'!A504,0)</f>
        <v>43934</v>
      </c>
    </row>
    <row r="511" spans="20:28" ht="13">
      <c r="T511" s="49" t="str">
        <f ca="1">IFERROR(__xludf.DUMMYFUNCTION("""COMPUTED_VALUE"""),"DCONFIG")</f>
        <v>DCONFIG</v>
      </c>
      <c r="U511" s="49">
        <f ca="1">COUNTIF('Awesome People List-Master'!D:D,T511)</f>
        <v>1</v>
      </c>
      <c r="X511" s="333" t="s">
        <v>5751</v>
      </c>
      <c r="Y511" s="334">
        <v>1</v>
      </c>
      <c r="AB511" s="169">
        <f>ROUND('Awesome People List-Master'!A505,0)</f>
        <v>43934</v>
      </c>
    </row>
    <row r="512" spans="20:28" ht="13">
      <c r="T512" s="49" t="str">
        <f ca="1">IFERROR(__xludf.DUMMYFUNCTION("""COMPUTED_VALUE"""),"4xlabs")</f>
        <v>4xlabs</v>
      </c>
      <c r="U512" s="49">
        <f ca="1">COUNTIF('Awesome People List-Master'!D:D,T512)</f>
        <v>1</v>
      </c>
      <c r="X512" s="333" t="s">
        <v>4565</v>
      </c>
      <c r="Y512" s="334">
        <v>1</v>
      </c>
      <c r="AB512" s="169">
        <f>ROUND('Awesome People List-Master'!A506,0)</f>
        <v>43934</v>
      </c>
    </row>
    <row r="513" spans="20:28" ht="13">
      <c r="T513" s="49" t="str">
        <f ca="1">IFERROR(__xludf.DUMMYFUNCTION("""COMPUTED_VALUE"""),"Moka")</f>
        <v>Moka</v>
      </c>
      <c r="U513" s="49">
        <f ca="1">COUNTIF('Awesome People List-Master'!D:D,T513)</f>
        <v>3</v>
      </c>
      <c r="X513" s="333" t="s">
        <v>5802</v>
      </c>
      <c r="Y513" s="334">
        <v>1</v>
      </c>
      <c r="AB513" s="169">
        <f>ROUND('Awesome People List-Master'!A507,0)</f>
        <v>43934</v>
      </c>
    </row>
    <row r="514" spans="20:28" ht="13">
      <c r="T514" s="49" t="str">
        <f ca="1">IFERROR(__xludf.DUMMYFUNCTION("""COMPUTED_VALUE"""),"Chiyoda Singapore")</f>
        <v>Chiyoda Singapore</v>
      </c>
      <c r="U514" s="49">
        <f ca="1">COUNTIF('Awesome People List-Master'!D:D,T514)</f>
        <v>1</v>
      </c>
      <c r="X514" s="333" t="s">
        <v>4578</v>
      </c>
      <c r="Y514" s="334">
        <v>1</v>
      </c>
      <c r="AB514" s="169">
        <f>ROUND('Awesome People List-Master'!A508,0)</f>
        <v>43934</v>
      </c>
    </row>
    <row r="515" spans="20:28" ht="13">
      <c r="T515" s="49" t="str">
        <f ca="1">IFERROR(__xludf.DUMMYFUNCTION("""COMPUTED_VALUE"""),"KoinWorks - PT. Lunaria Annua Teknologi")</f>
        <v>KoinWorks - PT. Lunaria Annua Teknologi</v>
      </c>
      <c r="U515" s="49">
        <f ca="1">COUNTIF('Awesome People List-Master'!D:D,T515)</f>
        <v>1</v>
      </c>
      <c r="X515" s="333" t="s">
        <v>3583</v>
      </c>
      <c r="Y515" s="334">
        <v>1</v>
      </c>
      <c r="AB515" s="169">
        <f>ROUND('Awesome People List-Master'!A509,0)</f>
        <v>43934</v>
      </c>
    </row>
    <row r="516" spans="20:28" ht="13">
      <c r="T516" s="49" t="str">
        <f ca="1">IFERROR(__xludf.DUMMYFUNCTION("""COMPUTED_VALUE"""),"koinworks")</f>
        <v>koinworks</v>
      </c>
      <c r="U516" s="49">
        <f ca="1">COUNTIF('Awesome People List-Master'!D:D,T516)</f>
        <v>6</v>
      </c>
      <c r="X516" s="333" t="s">
        <v>4595</v>
      </c>
      <c r="Y516" s="334">
        <v>1</v>
      </c>
      <c r="AB516" s="169">
        <f>ROUND('Awesome People List-Master'!A510,0)</f>
        <v>43934</v>
      </c>
    </row>
    <row r="517" spans="20:28" ht="13">
      <c r="T517" s="49" t="str">
        <f ca="1">IFERROR(__xludf.DUMMYFUNCTION("""COMPUTED_VALUE"""),"Dathappy")</f>
        <v>Dathappy</v>
      </c>
      <c r="U517" s="49">
        <f ca="1">COUNTIF('Awesome People List-Master'!D:D,T517)</f>
        <v>1</v>
      </c>
      <c r="X517" s="333" t="s">
        <v>5847</v>
      </c>
      <c r="Y517" s="334">
        <v>1</v>
      </c>
      <c r="AB517" s="169">
        <f>ROUND('Awesome People List-Master'!A511,0)</f>
        <v>43934</v>
      </c>
    </row>
    <row r="518" spans="20:28" ht="13">
      <c r="T518" s="49" t="str">
        <f ca="1">IFERROR(__xludf.DUMMYFUNCTION("""COMPUTED_VALUE"""),"UDrive Media Sdn Bhd")</f>
        <v>UDrive Media Sdn Bhd</v>
      </c>
      <c r="U518" s="49">
        <f ca="1">COUNTIF('Awesome People List-Master'!D:D,T518)</f>
        <v>1</v>
      </c>
      <c r="X518" s="333" t="s">
        <v>4602</v>
      </c>
      <c r="Y518" s="334">
        <v>1</v>
      </c>
      <c r="AB518" s="169">
        <f>ROUND('Awesome People List-Master'!A512,0)</f>
        <v>43934</v>
      </c>
    </row>
    <row r="519" spans="20:28" ht="13">
      <c r="T519" s="49" t="str">
        <f ca="1">IFERROR(__xludf.DUMMYFUNCTION("""COMPUTED_VALUE"""),"Urbanhire (PT Urban Teknologi Digital)")</f>
        <v>Urbanhire (PT Urban Teknologi Digital)</v>
      </c>
      <c r="U519" s="49">
        <f ca="1">COUNTIF('Awesome People List-Master'!D:D,T519)</f>
        <v>1</v>
      </c>
      <c r="X519" s="333" t="s">
        <v>5889</v>
      </c>
      <c r="Y519" s="334">
        <v>1</v>
      </c>
      <c r="AB519" s="169">
        <f>ROUND('Awesome People List-Master'!A513,0)</f>
        <v>43934</v>
      </c>
    </row>
    <row r="520" spans="20:28" ht="13">
      <c r="T520" s="49" t="str">
        <f ca="1">IFERROR(__xludf.DUMMYFUNCTION("""COMPUTED_VALUE"""),"aCommerce Indonesia")</f>
        <v>aCommerce Indonesia</v>
      </c>
      <c r="U520" s="49">
        <f ca="1">COUNTIF('Awesome People List-Master'!D:D,T520)</f>
        <v>2</v>
      </c>
      <c r="X520" s="333" t="s">
        <v>4611</v>
      </c>
      <c r="Y520" s="334">
        <v>1</v>
      </c>
      <c r="AB520" s="169">
        <f>ROUND('Awesome People List-Master'!A514,0)</f>
        <v>43934</v>
      </c>
    </row>
    <row r="521" spans="20:28" ht="13">
      <c r="T521" s="49" t="str">
        <f ca="1">IFERROR(__xludf.DUMMYFUNCTION("""COMPUTED_VALUE"""),"Gojek")</f>
        <v>Gojek</v>
      </c>
      <c r="U521" s="49">
        <f ca="1">COUNTIF('Awesome People List-Master'!D:D,T521)</f>
        <v>3</v>
      </c>
      <c r="X521" s="333" t="s">
        <v>5910</v>
      </c>
      <c r="Y521" s="334">
        <v>1</v>
      </c>
      <c r="AB521" s="169">
        <f>ROUND('Awesome People List-Master'!A515,0)</f>
        <v>43934</v>
      </c>
    </row>
    <row r="522" spans="20:28" ht="13">
      <c r="T522" s="49" t="str">
        <f ca="1">IFERROR(__xludf.DUMMYFUNCTION("""COMPUTED_VALUE"""),"Ralali")</f>
        <v>Ralali</v>
      </c>
      <c r="U522" s="49">
        <f ca="1">COUNTIF('Awesome People List-Master'!D:D,T522)</f>
        <v>1</v>
      </c>
      <c r="X522" s="333" t="s">
        <v>4641</v>
      </c>
      <c r="Y522" s="334">
        <v>1</v>
      </c>
      <c r="AB522" s="169">
        <f>ROUND('Awesome People List-Master'!A516,0)</f>
        <v>43934</v>
      </c>
    </row>
    <row r="523" spans="20:28" ht="13">
      <c r="T523" s="49" t="str">
        <f ca="1">IFERROR(__xludf.DUMMYFUNCTION("""COMPUTED_VALUE"""),"Mekar (PT. Mekar Investama Sampoerna)")</f>
        <v>Mekar (PT. Mekar Investama Sampoerna)</v>
      </c>
      <c r="U523" s="49">
        <f ca="1">COUNTIF('Awesome People List-Master'!D:D,T523)</f>
        <v>1</v>
      </c>
      <c r="X523" s="333" t="s">
        <v>5938</v>
      </c>
      <c r="Y523" s="334">
        <v>1</v>
      </c>
      <c r="AB523" s="169">
        <f>ROUND('Awesome People List-Master'!A517,0)</f>
        <v>43934</v>
      </c>
    </row>
    <row r="524" spans="20:28" ht="13">
      <c r="T524" s="49" t="str">
        <f ca="1">IFERROR(__xludf.DUMMYFUNCTION("""COMPUTED_VALUE"""),"PT OYO INDONESIA")</f>
        <v>PT OYO INDONESIA</v>
      </c>
      <c r="U524" s="49">
        <f ca="1">COUNTIF('Awesome People List-Master'!D:D,T524)</f>
        <v>1</v>
      </c>
      <c r="X524" s="333" t="s">
        <v>4653</v>
      </c>
      <c r="Y524" s="334">
        <v>1</v>
      </c>
      <c r="AB524" s="169">
        <f>ROUND('Awesome People List-Master'!A518,0)</f>
        <v>43934</v>
      </c>
    </row>
    <row r="525" spans="20:28" ht="13">
      <c r="T525" s="49" t="str">
        <f ca="1">IFERROR(__xludf.DUMMYFUNCTION("""COMPUTED_VALUE"""),"BCI Asia")</f>
        <v>BCI Asia</v>
      </c>
      <c r="U525" s="49">
        <f ca="1">COUNTIF('Awesome People List-Master'!D:D,T525)</f>
        <v>1</v>
      </c>
      <c r="X525" s="333" t="s">
        <v>5953</v>
      </c>
      <c r="Y525" s="334">
        <v>1</v>
      </c>
      <c r="AB525" s="169">
        <f>ROUND('Awesome People List-Master'!A519,0)</f>
        <v>43934</v>
      </c>
    </row>
    <row r="526" spans="20:28" ht="13">
      <c r="T526" s="49" t="str">
        <f ca="1">IFERROR(__xludf.DUMMYFUNCTION("""COMPUTED_VALUE"""),"Jones Lang LaSalle")</f>
        <v>Jones Lang LaSalle</v>
      </c>
      <c r="U526" s="49">
        <f ca="1">COUNTIF('Awesome People List-Master'!D:D,T526)</f>
        <v>1</v>
      </c>
      <c r="X526" s="333" t="s">
        <v>4665</v>
      </c>
      <c r="Y526" s="334">
        <v>1</v>
      </c>
      <c r="AB526" s="169">
        <f>ROUND('Awesome People List-Master'!A520,0)</f>
        <v>43934</v>
      </c>
    </row>
    <row r="527" spans="20:28" ht="13">
      <c r="T527" s="49" t="str">
        <f ca="1">IFERROR(__xludf.DUMMYFUNCTION("""COMPUTED_VALUE"""),"PT Ekrut Teknologi Utama")</f>
        <v>PT Ekrut Teknologi Utama</v>
      </c>
      <c r="U527" s="49">
        <f ca="1">COUNTIF('Awesome People List-Master'!D:D,T527)</f>
        <v>1</v>
      </c>
      <c r="X527" s="333" t="s">
        <v>5966</v>
      </c>
      <c r="Y527" s="334">
        <v>1</v>
      </c>
      <c r="AB527" s="169">
        <f>ROUND('Awesome People List-Master'!A521,0)</f>
        <v>43934</v>
      </c>
    </row>
    <row r="528" spans="20:28" ht="13">
      <c r="T528" s="49" t="str">
        <f ca="1">IFERROR(__xludf.DUMMYFUNCTION("""COMPUTED_VALUE"""),"RELX Technology")</f>
        <v>RELX Technology</v>
      </c>
      <c r="U528" s="49">
        <f ca="1">COUNTIF('Awesome People List-Master'!D:D,T528)</f>
        <v>1</v>
      </c>
      <c r="X528" s="333" t="s">
        <v>4673</v>
      </c>
      <c r="Y528" s="334">
        <v>1</v>
      </c>
      <c r="AB528" s="169">
        <f>ROUND('Awesome People List-Master'!A522,0)</f>
        <v>43934</v>
      </c>
    </row>
    <row r="529" spans="20:28" ht="13">
      <c r="T529" s="49" t="str">
        <f ca="1">IFERROR(__xludf.DUMMYFUNCTION("""COMPUTED_VALUE"""),"Direktorat Logistik Pusat Administrasi Universitas Indonesia")</f>
        <v>Direktorat Logistik Pusat Administrasi Universitas Indonesia</v>
      </c>
      <c r="U529" s="49">
        <f ca="1">COUNTIF('Awesome People List-Master'!D:D,T529)</f>
        <v>1</v>
      </c>
      <c r="X529" s="333" t="s">
        <v>5984</v>
      </c>
      <c r="Y529" s="334">
        <v>1</v>
      </c>
      <c r="AB529" s="169">
        <f>ROUND('Awesome People List-Master'!A523,0)</f>
        <v>43934</v>
      </c>
    </row>
    <row r="530" spans="20:28" ht="13">
      <c r="T530" s="49" t="str">
        <f ca="1">IFERROR(__xludf.DUMMYFUNCTION("""COMPUTED_VALUE"""),"TravelStop")</f>
        <v>TravelStop</v>
      </c>
      <c r="U530" s="49">
        <f ca="1">COUNTIF('Awesome People List-Master'!D:D,T530)</f>
        <v>1</v>
      </c>
      <c r="X530" s="333" t="s">
        <v>4681</v>
      </c>
      <c r="Y530" s="334">
        <v>1</v>
      </c>
      <c r="AB530" s="169">
        <f>ROUND('Awesome People List-Master'!A524,0)</f>
        <v>43934</v>
      </c>
    </row>
    <row r="531" spans="20:28" ht="13">
      <c r="T531" s="49" t="str">
        <f ca="1">IFERROR(__xludf.DUMMYFUNCTION("""COMPUTED_VALUE"""),"Fashion Investment Group")</f>
        <v>Fashion Investment Group</v>
      </c>
      <c r="U531" s="49">
        <f ca="1">COUNTIF('Awesome People List-Master'!D:D,T531)</f>
        <v>1</v>
      </c>
      <c r="X531" s="333" t="s">
        <v>6003</v>
      </c>
      <c r="Y531" s="334">
        <v>1</v>
      </c>
      <c r="AB531" s="169">
        <f>ROUND('Awesome People List-Master'!A525,0)</f>
        <v>43934</v>
      </c>
    </row>
    <row r="532" spans="20:28" ht="13">
      <c r="T532" s="49" t="str">
        <f ca="1">IFERROR(__xludf.DUMMYFUNCTION("""COMPUTED_VALUE"""),"GREDU")</f>
        <v>GREDU</v>
      </c>
      <c r="U532" s="49">
        <f ca="1">COUNTIF('Awesome People List-Master'!D:D,T532)</f>
        <v>4</v>
      </c>
      <c r="X532" s="333" t="s">
        <v>4704</v>
      </c>
      <c r="Y532" s="334">
        <v>1</v>
      </c>
      <c r="AB532" s="169">
        <f>ROUND('Awesome People List-Master'!A526,0)</f>
        <v>43934</v>
      </c>
    </row>
    <row r="533" spans="20:28" ht="13">
      <c r="T533" s="49" t="str">
        <f ca="1">IFERROR(__xludf.DUMMYFUNCTION("""COMPUTED_VALUE"""),"PT STOQO Teknologi Indonesia")</f>
        <v>PT STOQO Teknologi Indonesia</v>
      </c>
      <c r="U533" s="49">
        <f ca="1">COUNTIF('Awesome People List-Master'!D:D,T533)</f>
        <v>1</v>
      </c>
      <c r="X533" s="333" t="s">
        <v>6021</v>
      </c>
      <c r="Y533" s="334">
        <v>1</v>
      </c>
      <c r="AB533" s="169">
        <f>ROUND('Awesome People List-Master'!A527,0)</f>
        <v>43934</v>
      </c>
    </row>
    <row r="534" spans="20:28" ht="13">
      <c r="T534" s="49" t="str">
        <f ca="1">IFERROR(__xludf.DUMMYFUNCTION("""COMPUTED_VALUE"""),"PT HIBA UTAMA")</f>
        <v>PT HIBA UTAMA</v>
      </c>
      <c r="U534" s="49">
        <f ca="1">COUNTIF('Awesome People List-Master'!D:D,T534)</f>
        <v>1</v>
      </c>
      <c r="X534" s="333" t="s">
        <v>3411</v>
      </c>
      <c r="Y534" s="334">
        <v>1</v>
      </c>
      <c r="AB534" s="169">
        <f>ROUND('Awesome People List-Master'!A528,0)</f>
        <v>43934</v>
      </c>
    </row>
    <row r="535" spans="20:28" ht="13">
      <c r="T535" s="49" t="str">
        <f ca="1">IFERROR(__xludf.DUMMYFUNCTION("""COMPUTED_VALUE"""),"PT. ULTIMA ASIA TEKNOLOGI (Formerly known as Micros - Fidelio Indonesia)")</f>
        <v>PT. ULTIMA ASIA TEKNOLOGI (Formerly known as Micros - Fidelio Indonesia)</v>
      </c>
      <c r="U535" s="49">
        <f ca="1">COUNTIF('Awesome People List-Master'!D:D,T535)</f>
        <v>1</v>
      </c>
      <c r="X535" s="333" t="s">
        <v>6037</v>
      </c>
      <c r="Y535" s="334">
        <v>1</v>
      </c>
      <c r="AB535" s="169">
        <f>ROUND('Awesome People List-Master'!A529,0)</f>
        <v>43934</v>
      </c>
    </row>
    <row r="536" spans="20:28" ht="13">
      <c r="T536" s="49" t="str">
        <f ca="1">IFERROR(__xludf.DUMMYFUNCTION("""COMPUTED_VALUE"""),"Weather and Climate Prediction Laboratory ITB ")</f>
        <v xml:space="preserve">Weather and Climate Prediction Laboratory ITB </v>
      </c>
      <c r="U536" s="49">
        <f ca="1">COUNTIF('Awesome People List-Master'!D:D,T536)</f>
        <v>1</v>
      </c>
      <c r="X536" s="333" t="s">
        <v>4727</v>
      </c>
      <c r="Y536" s="334">
        <v>1</v>
      </c>
      <c r="AB536" s="169">
        <f>ROUND('Awesome People List-Master'!A530,0)</f>
        <v>43934</v>
      </c>
    </row>
    <row r="537" spans="20:28" ht="13">
      <c r="T537" s="49" t="str">
        <f ca="1">IFERROR(__xludf.DUMMYFUNCTION("""COMPUTED_VALUE"""),"Brightline Interactive")</f>
        <v>Brightline Interactive</v>
      </c>
      <c r="U537" s="49">
        <f ca="1">COUNTIF('Awesome People List-Master'!D:D,T537)</f>
        <v>1</v>
      </c>
      <c r="X537" s="333" t="s">
        <v>6055</v>
      </c>
      <c r="Y537" s="334">
        <v>1</v>
      </c>
      <c r="AB537" s="169">
        <f>ROUND('Awesome People List-Master'!A531,0)</f>
        <v>43935</v>
      </c>
    </row>
    <row r="538" spans="20:28" ht="13">
      <c r="T538" s="49" t="str">
        <f ca="1">IFERROR(__xludf.DUMMYFUNCTION("""COMPUTED_VALUE"""),"Galvanize")</f>
        <v>Galvanize</v>
      </c>
      <c r="U538" s="49">
        <f ca="1">COUNTIF('Awesome People List-Master'!D:D,T538)</f>
        <v>1</v>
      </c>
      <c r="X538" s="333" t="s">
        <v>4741</v>
      </c>
      <c r="Y538" s="334">
        <v>1</v>
      </c>
      <c r="AB538" s="169">
        <f>ROUND('Awesome People List-Master'!A532,0)</f>
        <v>43935</v>
      </c>
    </row>
    <row r="539" spans="20:28" ht="13">
      <c r="T539" s="49" t="str">
        <f ca="1">IFERROR(__xludf.DUMMYFUNCTION("""COMPUTED_VALUE"""),"Inception Technology Co., Ltd.")</f>
        <v>Inception Technology Co., Ltd.</v>
      </c>
      <c r="U539" s="49">
        <f ca="1">COUNTIF('Awesome People List-Master'!D:D,T539)</f>
        <v>1</v>
      </c>
      <c r="X539" s="333" t="s">
        <v>6077</v>
      </c>
      <c r="Y539" s="334">
        <v>1</v>
      </c>
      <c r="AB539" s="169">
        <f>ROUND('Awesome People List-Master'!A533,0)</f>
        <v>43935</v>
      </c>
    </row>
    <row r="540" spans="20:28" ht="13">
      <c r="T540" s="49" t="str">
        <f ca="1">IFERROR(__xludf.DUMMYFUNCTION("""COMPUTED_VALUE"""),"Prive Technologies")</f>
        <v>Prive Technologies</v>
      </c>
      <c r="U540" s="49">
        <f ca="1">COUNTIF('Awesome People List-Master'!D:D,T540)</f>
        <v>1</v>
      </c>
      <c r="X540" s="333" t="s">
        <v>4745</v>
      </c>
      <c r="Y540" s="334">
        <v>1</v>
      </c>
      <c r="AB540" s="169">
        <f>ROUND('Awesome People List-Master'!A534,0)</f>
        <v>43935</v>
      </c>
    </row>
    <row r="541" spans="20:28" ht="13">
      <c r="T541" s="49" t="str">
        <f ca="1">IFERROR(__xludf.DUMMYFUNCTION("""COMPUTED_VALUE"""),"Zuzu hospitality")</f>
        <v>Zuzu hospitality</v>
      </c>
      <c r="U541" s="49">
        <f ca="1">COUNTIF('Awesome People List-Master'!D:D,T541)</f>
        <v>10</v>
      </c>
      <c r="X541" s="333" t="s">
        <v>6115</v>
      </c>
      <c r="Y541" s="334">
        <v>1</v>
      </c>
      <c r="AB541" s="169">
        <f>ROUND('Awesome People List-Master'!A535,0)</f>
        <v>43935</v>
      </c>
    </row>
    <row r="542" spans="20:28" ht="13">
      <c r="T542" s="49" t="str">
        <f ca="1">IFERROR(__xludf.DUMMYFUNCTION("""COMPUTED_VALUE"""),"William Russell")</f>
        <v>William Russell</v>
      </c>
      <c r="U542" s="49">
        <f ca="1">COUNTIF('Awesome People List-Master'!D:D,T542)</f>
        <v>1</v>
      </c>
      <c r="X542" s="333" t="s">
        <v>4758</v>
      </c>
      <c r="Y542" s="334">
        <v>1</v>
      </c>
      <c r="AB542" s="169">
        <f>ROUND('Awesome People List-Master'!A536,0)</f>
        <v>43935</v>
      </c>
    </row>
    <row r="543" spans="20:28" ht="13">
      <c r="T543" s="49" t="str">
        <f ca="1">IFERROR(__xludf.DUMMYFUNCTION("""COMPUTED_VALUE"""),"OnlinePajak")</f>
        <v>OnlinePajak</v>
      </c>
      <c r="U543" s="49">
        <f ca="1">COUNTIF('Awesome People List-Master'!D:D,T543)</f>
        <v>2</v>
      </c>
      <c r="X543" s="333" t="s">
        <v>6135</v>
      </c>
      <c r="Y543" s="334">
        <v>1</v>
      </c>
      <c r="AB543" s="169">
        <f>ROUND('Awesome People List-Master'!A537,0)</f>
        <v>43935</v>
      </c>
    </row>
    <row r="544" spans="20:28" ht="13">
      <c r="T544" s="49" t="str">
        <f ca="1">IFERROR(__xludf.DUMMYFUNCTION("""COMPUTED_VALUE"""),"ethiks agents")</f>
        <v>ethiks agents</v>
      </c>
      <c r="U544" s="49">
        <f ca="1">COUNTIF('Awesome People List-Master'!D:D,T544)</f>
        <v>1</v>
      </c>
      <c r="X544" s="333" t="s">
        <v>6540</v>
      </c>
      <c r="Y544" s="334">
        <v>1</v>
      </c>
      <c r="AB544" s="169">
        <f>ROUND('Awesome People List-Master'!A538,0)</f>
        <v>43935</v>
      </c>
    </row>
    <row r="545" spans="20:28" ht="13">
      <c r="T545" s="49" t="str">
        <f ca="1">IFERROR(__xludf.DUMMYFUNCTION("""COMPUTED_VALUE"""),"AXA Insurance Pte Ltd")</f>
        <v>AXA Insurance Pte Ltd</v>
      </c>
      <c r="U545" s="49">
        <f ca="1">COUNTIF('Awesome People List-Master'!D:D,T545)</f>
        <v>1</v>
      </c>
      <c r="X545" s="333" t="s">
        <v>6186</v>
      </c>
      <c r="Y545" s="334">
        <v>1</v>
      </c>
      <c r="AB545" s="169">
        <f>ROUND('Awesome People List-Master'!A539,0)</f>
        <v>43935</v>
      </c>
    </row>
    <row r="546" spans="20:28" ht="13">
      <c r="T546" s="49" t="str">
        <f ca="1">IFERROR(__xludf.DUMMYFUNCTION("""COMPUTED_VALUE"""),"Lazada")</f>
        <v>Lazada</v>
      </c>
      <c r="U546" s="49">
        <f ca="1">COUNTIF('Awesome People List-Master'!D:D,T546)</f>
        <v>1</v>
      </c>
      <c r="X546" s="333" t="s">
        <v>6559</v>
      </c>
      <c r="Y546" s="334">
        <v>1</v>
      </c>
      <c r="AB546" s="169">
        <f>ROUND('Awesome People List-Master'!A540,0)</f>
        <v>43935</v>
      </c>
    </row>
    <row r="547" spans="20:28" ht="13">
      <c r="T547" s="49" t="str">
        <f ca="1">IFERROR(__xludf.DUMMYFUNCTION("""COMPUTED_VALUE"""),"PT. Hello Kreasi Indonesia")</f>
        <v>PT. Hello Kreasi Indonesia</v>
      </c>
      <c r="U547" s="49">
        <f ca="1">COUNTIF('Awesome People List-Master'!D:D,T547)</f>
        <v>1</v>
      </c>
      <c r="X547" s="333" t="s">
        <v>6208</v>
      </c>
      <c r="Y547" s="334">
        <v>1</v>
      </c>
      <c r="AB547" s="169">
        <f>ROUND('Awesome People List-Master'!A541,0)</f>
        <v>43935</v>
      </c>
    </row>
    <row r="548" spans="20:28" ht="13">
      <c r="T548" s="49" t="str">
        <f ca="1">IFERROR(__xludf.DUMMYFUNCTION("""COMPUTED_VALUE"""),"Zimplistic")</f>
        <v>Zimplistic</v>
      </c>
      <c r="U548" s="49">
        <f ca="1">COUNTIF('Awesome People List-Master'!D:D,T548)</f>
        <v>1</v>
      </c>
      <c r="X548" s="333" t="s">
        <v>6271</v>
      </c>
      <c r="Y548" s="334">
        <v>1</v>
      </c>
      <c r="AB548" s="169">
        <f>ROUND('Awesome People List-Master'!A542,0)</f>
        <v>43935</v>
      </c>
    </row>
    <row r="549" spans="20:28" ht="13">
      <c r="T549" s="49" t="str">
        <f ca="1">IFERROR(__xludf.DUMMYFUNCTION("""COMPUTED_VALUE"""),"Prefer not to disclose")</f>
        <v>Prefer not to disclose</v>
      </c>
      <c r="U549" s="49">
        <f ca="1">COUNTIF('Awesome People List-Master'!D:D,T549)</f>
        <v>1</v>
      </c>
      <c r="X549" s="333" t="s">
        <v>6229</v>
      </c>
      <c r="Y549" s="334">
        <v>1</v>
      </c>
      <c r="AB549" s="169">
        <f>ROUND('Awesome People List-Master'!A543,0)</f>
        <v>43935</v>
      </c>
    </row>
    <row r="550" spans="20:28" ht="13">
      <c r="T550" s="56" t="str">
        <f ca="1">IFERROR(__xludf.DUMMYFUNCTION("""COMPUTED_VALUE"""),"loopup.com")</f>
        <v>loopup.com</v>
      </c>
      <c r="U550" s="49">
        <f ca="1">COUNTIF('Awesome People List-Master'!D:D,T550)</f>
        <v>1</v>
      </c>
      <c r="X550" s="333" t="s">
        <v>6609</v>
      </c>
      <c r="Y550" s="334">
        <v>1</v>
      </c>
      <c r="AB550" s="169">
        <f>ROUND('Awesome People List-Master'!A544,0)</f>
        <v>43935</v>
      </c>
    </row>
    <row r="551" spans="20:28" ht="13">
      <c r="T551" s="49" t="str">
        <f ca="1">IFERROR(__xludf.DUMMYFUNCTION("""COMPUTED_VALUE"""),"Huge")</f>
        <v>Huge</v>
      </c>
      <c r="U551" s="49">
        <f ca="1">COUNTIF('Awesome People List-Master'!D:D,T551)</f>
        <v>1</v>
      </c>
      <c r="X551" s="333" t="s">
        <v>6257</v>
      </c>
      <c r="Y551" s="334">
        <v>1</v>
      </c>
      <c r="AB551" s="169">
        <f>ROUND('Awesome People List-Master'!A545,0)</f>
        <v>43935</v>
      </c>
    </row>
    <row r="552" spans="20:28" ht="13">
      <c r="T552" s="49" t="str">
        <f ca="1">IFERROR(__xludf.DUMMYFUNCTION("""COMPUTED_VALUE"""),"ZEN eServices Pte Ltd")</f>
        <v>ZEN eServices Pte Ltd</v>
      </c>
      <c r="U552" s="49">
        <f ca="1">COUNTIF('Awesome People List-Master'!D:D,T552)</f>
        <v>1</v>
      </c>
      <c r="X552" s="333" t="s">
        <v>6631</v>
      </c>
      <c r="Y552" s="334">
        <v>1</v>
      </c>
      <c r="AB552" s="169">
        <f>ROUND('Awesome People List-Master'!A546,0)</f>
        <v>43935</v>
      </c>
    </row>
    <row r="553" spans="20:28" ht="13">
      <c r="T553" s="49" t="str">
        <f ca="1">IFERROR(__xludf.DUMMYFUNCTION("""COMPUTED_VALUE"""),"Thales DIS (Singapore) Pte Ltd")</f>
        <v>Thales DIS (Singapore) Pte Ltd</v>
      </c>
      <c r="U553" s="49">
        <f ca="1">COUNTIF('Awesome People List-Master'!D:D,T553)</f>
        <v>1</v>
      </c>
      <c r="X553" s="333" t="s">
        <v>6292</v>
      </c>
      <c r="Y553" s="334">
        <v>1</v>
      </c>
      <c r="AB553" s="169">
        <f>ROUND('Awesome People List-Master'!A547,0)</f>
        <v>43935</v>
      </c>
    </row>
    <row r="554" spans="20:28" ht="13">
      <c r="T554" s="49" t="str">
        <f ca="1">IFERROR(__xludf.DUMMYFUNCTION("""COMPUTED_VALUE"""),"PT Bank Negara Indonesia (Persero) Tbk.")</f>
        <v>PT Bank Negara Indonesia (Persero) Tbk.</v>
      </c>
      <c r="U554" s="49">
        <f ca="1">COUNTIF('Awesome People List-Master'!D:D,T554)</f>
        <v>1</v>
      </c>
      <c r="X554" s="333" t="s">
        <v>6647</v>
      </c>
      <c r="Y554" s="334">
        <v>1</v>
      </c>
      <c r="AB554" s="169">
        <f>ROUND('Awesome People List-Master'!A548,0)</f>
        <v>43935</v>
      </c>
    </row>
    <row r="555" spans="20:28" ht="13">
      <c r="T555" s="49" t="str">
        <f ca="1">IFERROR(__xludf.DUMMYFUNCTION("""COMPUTED_VALUE"""),"Adara")</f>
        <v>Adara</v>
      </c>
      <c r="U555" s="49">
        <f ca="1">COUNTIF('Awesome People List-Master'!D:D,T555)</f>
        <v>1</v>
      </c>
      <c r="X555" s="333" t="s">
        <v>3610</v>
      </c>
      <c r="Y555" s="334">
        <v>1</v>
      </c>
      <c r="AB555" s="169">
        <f>ROUND('Awesome People List-Master'!A549,0)</f>
        <v>43935</v>
      </c>
    </row>
    <row r="556" spans="20:28" ht="13">
      <c r="T556" s="49" t="str">
        <f ca="1">IFERROR(__xludf.DUMMYFUNCTION("""COMPUTED_VALUE"""),"NETS")</f>
        <v>NETS</v>
      </c>
      <c r="U556" s="49">
        <f ca="1">COUNTIF('Awesome People List-Master'!D:D,T556)</f>
        <v>1</v>
      </c>
      <c r="X556" s="333" t="s">
        <v>6661</v>
      </c>
      <c r="Y556" s="334">
        <v>1</v>
      </c>
      <c r="AB556" s="169">
        <f>ROUND('Awesome People List-Master'!A550,0)</f>
        <v>43935</v>
      </c>
    </row>
    <row r="557" spans="20:28" ht="13">
      <c r="T557" s="49" t="str">
        <f ca="1">IFERROR(__xludf.DUMMYFUNCTION("""COMPUTED_VALUE"""),"Local Champions Indonesia")</f>
        <v>Local Champions Indonesia</v>
      </c>
      <c r="U557" s="49">
        <f ca="1">COUNTIF('Awesome People List-Master'!D:D,T557)</f>
        <v>1</v>
      </c>
      <c r="X557" s="333" t="s">
        <v>6325</v>
      </c>
      <c r="Y557" s="334">
        <v>1</v>
      </c>
      <c r="AB557" s="169">
        <f>ROUND('Awesome People List-Master'!A551,0)</f>
        <v>43935</v>
      </c>
    </row>
    <row r="558" spans="20:28" ht="13">
      <c r="T558" s="49" t="str">
        <f ca="1">IFERROR(__xludf.DUMMYFUNCTION("""COMPUTED_VALUE"""),"Mynt (Globe Fintech Innovations)")</f>
        <v>Mynt (Globe Fintech Innovations)</v>
      </c>
      <c r="U558" s="49">
        <f ca="1">COUNTIF('Awesome People List-Master'!D:D,T558)</f>
        <v>1</v>
      </c>
      <c r="X558" s="333" t="s">
        <v>6677</v>
      </c>
      <c r="Y558" s="334">
        <v>1</v>
      </c>
      <c r="AB558" s="169">
        <f>ROUND('Awesome People List-Master'!A552,0)</f>
        <v>43936</v>
      </c>
    </row>
    <row r="559" spans="20:28" ht="13">
      <c r="T559" s="49" t="str">
        <f ca="1">IFERROR(__xludf.DUMMYFUNCTION("""COMPUTED_VALUE"""),"Enapter")</f>
        <v>Enapter</v>
      </c>
      <c r="U559" s="49">
        <f ca="1">COUNTIF('Awesome People List-Master'!D:D,T559)</f>
        <v>1</v>
      </c>
      <c r="X559" s="333" t="s">
        <v>6352</v>
      </c>
      <c r="Y559" s="334">
        <v>1</v>
      </c>
      <c r="AB559" s="169">
        <f>ROUND('Awesome People List-Master'!A553,0)</f>
        <v>43936</v>
      </c>
    </row>
    <row r="560" spans="20:28" ht="13">
      <c r="T560" s="49" t="str">
        <f ca="1">IFERROR(__xludf.DUMMYFUNCTION("""COMPUTED_VALUE"""),"Polypixel Studios")</f>
        <v>Polypixel Studios</v>
      </c>
      <c r="U560" s="49">
        <f ca="1">COUNTIF('Awesome People List-Master'!D:D,T560)</f>
        <v>1</v>
      </c>
      <c r="X560" s="333" t="s">
        <v>4893</v>
      </c>
      <c r="Y560" s="334">
        <v>1</v>
      </c>
      <c r="AB560" s="169">
        <f>ROUND('Awesome People List-Master'!A554,0)</f>
        <v>43936</v>
      </c>
    </row>
    <row r="561" spans="20:28" ht="13">
      <c r="T561" s="49" t="str">
        <f ca="1">IFERROR(__xludf.DUMMYFUNCTION("""COMPUTED_VALUE"""),"PHAR Partnerships Pte Ltd")</f>
        <v>PHAR Partnerships Pte Ltd</v>
      </c>
      <c r="U561" s="49">
        <f ca="1">COUNTIF('Awesome People List-Master'!D:D,T561)</f>
        <v>1</v>
      </c>
      <c r="X561" s="333" t="s">
        <v>6376</v>
      </c>
      <c r="Y561" s="334">
        <v>1</v>
      </c>
      <c r="AB561" s="169">
        <f>ROUND('Awesome People List-Master'!A555,0)</f>
        <v>43936</v>
      </c>
    </row>
    <row r="562" spans="20:28" ht="13">
      <c r="T562" s="49" t="str">
        <f ca="1">IFERROR(__xludf.DUMMYFUNCTION("""COMPUTED_VALUE"""),"Dwidaya Nusantara Convex")</f>
        <v>Dwidaya Nusantara Convex</v>
      </c>
      <c r="U562" s="49">
        <f ca="1">COUNTIF('Awesome People List-Master'!D:D,T562)</f>
        <v>1</v>
      </c>
      <c r="X562" s="333" t="s">
        <v>4902</v>
      </c>
      <c r="Y562" s="334">
        <v>1</v>
      </c>
      <c r="AB562" s="169">
        <f>ROUND('Awesome People List-Master'!A556,0)</f>
        <v>43936</v>
      </c>
    </row>
    <row r="563" spans="20:28" ht="13">
      <c r="T563" s="49" t="str">
        <f ca="1">IFERROR(__xludf.DUMMYFUNCTION("""COMPUTED_VALUE"""),"CT Corp Digital")</f>
        <v>CT Corp Digital</v>
      </c>
      <c r="U563" s="49">
        <f ca="1">COUNTIF('Awesome People List-Master'!D:D,T563)</f>
        <v>33</v>
      </c>
      <c r="X563" s="333" t="s">
        <v>6395</v>
      </c>
      <c r="Y563" s="334">
        <v>1</v>
      </c>
      <c r="AB563" s="169">
        <f>ROUND('Awesome People List-Master'!A557,0)</f>
        <v>43936</v>
      </c>
    </row>
    <row r="564" spans="20:28" ht="13">
      <c r="T564" s="49" t="str">
        <f ca="1">IFERROR(__xludf.DUMMYFUNCTION("""COMPUTED_VALUE"""),"PT. Transportasi Jakarta")</f>
        <v>PT. Transportasi Jakarta</v>
      </c>
      <c r="U564" s="49">
        <f ca="1">COUNTIF('Awesome People List-Master'!D:D,T564)</f>
        <v>1</v>
      </c>
      <c r="X564" s="333" t="s">
        <v>4912</v>
      </c>
      <c r="Y564" s="334">
        <v>1</v>
      </c>
      <c r="AB564" s="169">
        <f>ROUND('Awesome People List-Master'!A558,0)</f>
        <v>43936</v>
      </c>
    </row>
    <row r="565" spans="20:28" ht="13">
      <c r="T565" s="49" t="str">
        <f ca="1">IFERROR(__xludf.DUMMYFUNCTION("""COMPUTED_VALUE"""),"ALAX.IO Subsidiary of DECENT.CH")</f>
        <v>ALAX.IO Subsidiary of DECENT.CH</v>
      </c>
      <c r="U565" s="49">
        <f ca="1">COUNTIF('Awesome People List-Master'!D:D,T565)</f>
        <v>1</v>
      </c>
      <c r="X565" s="333" t="s">
        <v>6425</v>
      </c>
      <c r="Y565" s="334">
        <v>1</v>
      </c>
      <c r="AB565" s="169">
        <f>ROUND('Awesome People List-Master'!A559,0)</f>
        <v>43936</v>
      </c>
    </row>
    <row r="566" spans="20:28" ht="13">
      <c r="T566" s="49" t="str">
        <f ca="1">IFERROR(__xludf.DUMMYFUNCTION("""COMPUTED_VALUE"""),"Ciayo")</f>
        <v>Ciayo</v>
      </c>
      <c r="U566" s="49">
        <f ca="1">COUNTIF('Awesome People List-Master'!D:D,T566)</f>
        <v>2</v>
      </c>
      <c r="X566" s="333" t="s">
        <v>4918</v>
      </c>
      <c r="Y566" s="334">
        <v>1</v>
      </c>
      <c r="AB566" s="169">
        <f>ROUND('Awesome People List-Master'!A560,0)</f>
        <v>43936</v>
      </c>
    </row>
    <row r="567" spans="20:28" ht="13">
      <c r="T567" s="49" t="str">
        <f ca="1">IFERROR(__xludf.DUMMYFUNCTION("""COMPUTED_VALUE"""),"Constellation Agency")</f>
        <v>Constellation Agency</v>
      </c>
      <c r="U567" s="49">
        <f ca="1">COUNTIF('Awesome People List-Master'!D:D,T567)</f>
        <v>1</v>
      </c>
      <c r="X567" s="333" t="s">
        <v>6454</v>
      </c>
      <c r="Y567" s="334">
        <v>1</v>
      </c>
      <c r="AB567" s="169">
        <f>ROUND('Awesome People List-Master'!A561,0)</f>
        <v>43936</v>
      </c>
    </row>
    <row r="568" spans="20:28" ht="13">
      <c r="T568" s="49" t="str">
        <f ca="1">IFERROR(__xludf.DUMMYFUNCTION("""COMPUTED_VALUE"""),"Epsilon")</f>
        <v>Epsilon</v>
      </c>
      <c r="U568" s="49">
        <f ca="1">COUNTIF('Awesome People List-Master'!D:D,T568)</f>
        <v>1</v>
      </c>
      <c r="X568" s="333" t="s">
        <v>4926</v>
      </c>
      <c r="Y568" s="334">
        <v>1</v>
      </c>
      <c r="AB568" s="169">
        <f>ROUND('Awesome People List-Master'!A562,0)</f>
        <v>43936</v>
      </c>
    </row>
    <row r="569" spans="20:28" ht="13">
      <c r="T569" s="49" t="str">
        <f ca="1">IFERROR(__xludf.DUMMYFUNCTION("""COMPUTED_VALUE"""),"Idigiline")</f>
        <v>Idigiline</v>
      </c>
      <c r="U569" s="49">
        <f ca="1">COUNTIF('Awesome People List-Master'!D:D,T569)</f>
        <v>1</v>
      </c>
      <c r="X569" s="333" t="s">
        <v>6470</v>
      </c>
      <c r="Y569" s="334">
        <v>1</v>
      </c>
      <c r="AB569" s="169" t="e">
        <f>ROUND(#REF!,0)</f>
        <v>#REF!</v>
      </c>
    </row>
    <row r="570" spans="20:28" ht="13">
      <c r="T570" s="49" t="str">
        <f ca="1">IFERROR(__xludf.DUMMYFUNCTION("""COMPUTED_VALUE"""),"DataRobot")</f>
        <v>DataRobot</v>
      </c>
      <c r="U570" s="49">
        <f ca="1">COUNTIF('Awesome People List-Master'!D:D,T570)</f>
        <v>1</v>
      </c>
      <c r="X570" s="333" t="s">
        <v>4934</v>
      </c>
      <c r="Y570" s="334">
        <v>1</v>
      </c>
      <c r="AB570" s="169">
        <f>ROUND('Awesome People List-Master'!A563,0)</f>
        <v>43936</v>
      </c>
    </row>
    <row r="571" spans="20:28" ht="13">
      <c r="T571" s="49" t="str">
        <f ca="1">IFERROR(__xludf.DUMMYFUNCTION("""COMPUTED_VALUE"""),"SMARTE CARTE SINGAPORE PTE LTD ")</f>
        <v xml:space="preserve">SMARTE CARTE SINGAPORE PTE LTD </v>
      </c>
      <c r="U571" s="49">
        <f ca="1">COUNTIF('Awesome People List-Master'!D:D,T571)</f>
        <v>1</v>
      </c>
      <c r="X571" s="333" t="s">
        <v>6487</v>
      </c>
      <c r="Y571" s="334">
        <v>1</v>
      </c>
      <c r="AB571" s="169">
        <f>ROUND('Awesome People List-Master'!A564,0)</f>
        <v>43936</v>
      </c>
    </row>
    <row r="572" spans="20:28" ht="13">
      <c r="T572" s="49" t="str">
        <f ca="1">IFERROR(__xludf.DUMMYFUNCTION("""COMPUTED_VALUE"""),"Samala Hotel")</f>
        <v>Samala Hotel</v>
      </c>
      <c r="U572" s="49">
        <f ca="1">COUNTIF('Awesome People List-Master'!D:D,T572)</f>
        <v>1</v>
      </c>
      <c r="X572" s="333" t="s">
        <v>4960</v>
      </c>
      <c r="Y572" s="334">
        <v>1</v>
      </c>
      <c r="AB572" s="169">
        <f>ROUND('Awesome People List-Master'!A565,0)</f>
        <v>43936</v>
      </c>
    </row>
    <row r="573" spans="20:28" ht="13">
      <c r="T573" s="49" t="str">
        <f ca="1">IFERROR(__xludf.DUMMYFUNCTION("""COMPUTED_VALUE"""),"CIAYO Comics")</f>
        <v>CIAYO Comics</v>
      </c>
      <c r="U573" s="49">
        <f ca="1">COUNTIF('Awesome People List-Master'!D:D,T573)</f>
        <v>1</v>
      </c>
      <c r="X573" s="333" t="s">
        <v>6524</v>
      </c>
      <c r="Y573" s="334">
        <v>1</v>
      </c>
      <c r="AB573" s="169">
        <f>ROUND('Awesome People List-Master'!A566,0)</f>
        <v>43936</v>
      </c>
    </row>
    <row r="574" spans="20:28" ht="13">
      <c r="T574" s="49" t="str">
        <f ca="1">IFERROR(__xludf.DUMMYFUNCTION("""COMPUTED_VALUE"""),"Kapronasia")</f>
        <v>Kapronasia</v>
      </c>
      <c r="U574" s="49">
        <f ca="1">COUNTIF('Awesome People List-Master'!D:D,T574)</f>
        <v>1</v>
      </c>
      <c r="X574" s="333" t="s">
        <v>4968</v>
      </c>
      <c r="Y574" s="334">
        <v>1</v>
      </c>
      <c r="AB574" s="169">
        <f>ROUND('Awesome People List-Master'!A567,0)</f>
        <v>43936</v>
      </c>
    </row>
    <row r="575" spans="20:28" ht="13">
      <c r="T575" s="49" t="str">
        <f ca="1">IFERROR(__xludf.DUMMYFUNCTION("""COMPUTED_VALUE"""),"University of Oxford")</f>
        <v>University of Oxford</v>
      </c>
      <c r="U575" s="49">
        <f ca="1">COUNTIF('Awesome People List-Master'!D:D,T575)</f>
        <v>1</v>
      </c>
      <c r="X575" s="333" t="s">
        <v>4981</v>
      </c>
      <c r="Y575" s="334">
        <v>1</v>
      </c>
      <c r="AB575" s="169">
        <f>ROUND('Awesome People List-Master'!A568,0)</f>
        <v>43936</v>
      </c>
    </row>
    <row r="576" spans="20:28" ht="13">
      <c r="T576" s="49" t="str">
        <f ca="1">IFERROR(__xludf.DUMMYFUNCTION("""COMPUTED_VALUE"""),"AccResources Corporate Services PLT")</f>
        <v>AccResources Corporate Services PLT</v>
      </c>
      <c r="U576" s="49">
        <f ca="1">COUNTIF('Awesome People List-Master'!D:D,T576)</f>
        <v>1</v>
      </c>
      <c r="X576" s="333">
        <v>2019</v>
      </c>
      <c r="Y576" s="334">
        <v>1</v>
      </c>
      <c r="AB576" s="169">
        <f>ROUND('Awesome People List-Master'!A569,0)</f>
        <v>43936</v>
      </c>
    </row>
    <row r="577" spans="20:28" ht="13">
      <c r="T577" s="49" t="str">
        <f ca="1">IFERROR(__xludf.DUMMYFUNCTION("""COMPUTED_VALUE"""),"Exotel")</f>
        <v>Exotel</v>
      </c>
      <c r="U577" s="49">
        <f ca="1">COUNTIF('Awesome People List-Master'!D:D,T577)</f>
        <v>2</v>
      </c>
      <c r="X577" s="333" t="s">
        <v>6582</v>
      </c>
      <c r="Y577" s="334">
        <v>1</v>
      </c>
      <c r="AB577" s="169">
        <f>ROUND('Awesome People List-Master'!A570,0)</f>
        <v>43936</v>
      </c>
    </row>
    <row r="578" spans="20:28" ht="13">
      <c r="T578" s="49" t="str">
        <f ca="1">IFERROR(__xludf.DUMMYFUNCTION("""COMPUTED_VALUE"""),"DXC Technology")</f>
        <v>DXC Technology</v>
      </c>
      <c r="U578" s="49">
        <f ca="1">COUNTIF('Awesome People List-Master'!D:D,T578)</f>
        <v>1</v>
      </c>
      <c r="X578" s="333" t="s">
        <v>4781</v>
      </c>
      <c r="Y578" s="334">
        <v>1</v>
      </c>
      <c r="AB578" s="169">
        <f>ROUND('Awesome People List-Master'!A571,0)</f>
        <v>43936</v>
      </c>
    </row>
    <row r="579" spans="20:28" ht="13">
      <c r="T579" s="49" t="str">
        <f ca="1">IFERROR(__xludf.DUMMYFUNCTION("""COMPUTED_VALUE"""),"Sojern Inc")</f>
        <v>Sojern Inc</v>
      </c>
      <c r="U579" s="49">
        <f ca="1">COUNTIF('Awesome People List-Master'!D:D,T579)</f>
        <v>1</v>
      </c>
      <c r="X579" s="333" t="s">
        <v>6601</v>
      </c>
      <c r="Y579" s="334">
        <v>1</v>
      </c>
      <c r="AB579" s="169">
        <f>ROUND('Awesome People List-Master'!A572,0)</f>
        <v>43936</v>
      </c>
    </row>
    <row r="580" spans="20:28" ht="13">
      <c r="T580" s="49" t="str">
        <f ca="1">IFERROR(__xludf.DUMMYFUNCTION("""COMPUTED_VALUE"""),"Klub")</f>
        <v>Klub</v>
      </c>
      <c r="U580" s="49">
        <f ca="1">COUNTIF('Awesome People List-Master'!D:D,T580)</f>
        <v>1</v>
      </c>
      <c r="X580" s="333" t="s">
        <v>4794</v>
      </c>
      <c r="Y580" s="334">
        <v>1</v>
      </c>
      <c r="AB580" s="169">
        <f>ROUND('Awesome People List-Master'!A573,0)</f>
        <v>43936</v>
      </c>
    </row>
    <row r="581" spans="20:28" ht="13">
      <c r="T581" s="49" t="str">
        <f ca="1">IFERROR(__xludf.DUMMYFUNCTION("""COMPUTED_VALUE"""),"Agency for Science, Technology and Research (A*STAR)")</f>
        <v>Agency for Science, Technology and Research (A*STAR)</v>
      </c>
      <c r="U581" s="49">
        <f ca="1">COUNTIF('Awesome People List-Master'!D:D,T581)</f>
        <v>1</v>
      </c>
      <c r="X581" s="333" t="s">
        <v>6623</v>
      </c>
      <c r="Y581" s="334">
        <v>1</v>
      </c>
      <c r="AB581" s="169">
        <f>ROUND('Awesome People List-Master'!A574,0)</f>
        <v>43936</v>
      </c>
    </row>
    <row r="582" spans="20:28" ht="13">
      <c r="T582" s="49" t="str">
        <f ca="1">IFERROR(__xludf.DUMMYFUNCTION("""COMPUTED_VALUE"""),"untuk perusahaan baru memberi yang lebih baik kepada perusahaan bekerja keras, bertanggungjawab  dengan pekerjaan dan mengembangkan skil yang saya punya untuk kemajuan perusahaan")</f>
        <v>untuk perusahaan baru memberi yang lebih baik kepada perusahaan bekerja keras, bertanggungjawab  dengan pekerjaan dan mengembangkan skil yang saya punya untuk kemajuan perusahaan</v>
      </c>
      <c r="U582" s="49">
        <f ca="1">COUNTIF('Awesome People List-Master'!D:D,T582)</f>
        <v>1</v>
      </c>
      <c r="X582" s="333" t="s">
        <v>4803</v>
      </c>
      <c r="Y582" s="334">
        <v>1</v>
      </c>
      <c r="AB582" s="169">
        <f>ROUND('Awesome People List-Master'!A575,0)</f>
        <v>43936</v>
      </c>
    </row>
    <row r="583" spans="20:28" ht="13">
      <c r="T583" s="49" t="str">
        <f ca="1">IFERROR(__xludf.DUMMYFUNCTION("""COMPUTED_VALUE"""),"Foomee Science Intelligence ")</f>
        <v xml:space="preserve">Foomee Science Intelligence </v>
      </c>
      <c r="U583" s="49">
        <f ca="1">COUNTIF('Awesome People List-Master'!D:D,T583)</f>
        <v>1</v>
      </c>
      <c r="X583" s="333" t="s">
        <v>6640</v>
      </c>
      <c r="Y583" s="334">
        <v>1</v>
      </c>
      <c r="AB583" s="169">
        <f>ROUND('Awesome People List-Master'!A576,0)</f>
        <v>43936</v>
      </c>
    </row>
    <row r="584" spans="20:28" ht="13">
      <c r="T584" s="49" t="str">
        <f ca="1">IFERROR(__xludf.DUMMYFUNCTION("""COMPUTED_VALUE"""),"Meltwater")</f>
        <v>Meltwater</v>
      </c>
      <c r="U584" s="49">
        <f ca="1">COUNTIF('Awesome People List-Master'!D:D,T584)</f>
        <v>1</v>
      </c>
      <c r="X584" s="333" t="s">
        <v>4816</v>
      </c>
      <c r="Y584" s="334">
        <v>1</v>
      </c>
      <c r="AB584" s="169">
        <f>ROUND('Awesome People List-Master'!A577,0)</f>
        <v>43936</v>
      </c>
    </row>
    <row r="585" spans="20:28" ht="13">
      <c r="T585" s="49" t="str">
        <f ca="1">IFERROR(__xludf.DUMMYFUNCTION("""COMPUTED_VALUE"""),"ernst &amp; young solutions LLP")</f>
        <v>ernst &amp; young solutions LLP</v>
      </c>
      <c r="U585" s="49">
        <f ca="1">COUNTIF('Awesome People List-Master'!D:D,T585)</f>
        <v>1</v>
      </c>
      <c r="X585" s="333" t="s">
        <v>6655</v>
      </c>
      <c r="Y585" s="334">
        <v>1</v>
      </c>
      <c r="AB585" s="169">
        <f>ROUND('Awesome People List-Master'!A578,0)</f>
        <v>43936</v>
      </c>
    </row>
    <row r="586" spans="20:28" ht="13">
      <c r="T586" s="49" t="str">
        <f ca="1">IFERROR(__xludf.DUMMYFUNCTION("""COMPUTED_VALUE"""),"AirAsia")</f>
        <v>AirAsia</v>
      </c>
      <c r="U586" s="49">
        <f ca="1">COUNTIF('Awesome People List-Master'!D:D,T586)</f>
        <v>1</v>
      </c>
      <c r="X586" s="333" t="s">
        <v>4826</v>
      </c>
      <c r="Y586" s="334">
        <v>1</v>
      </c>
      <c r="AB586" s="169">
        <f>ROUND('Awesome People List-Master'!A579,0)</f>
        <v>43936</v>
      </c>
    </row>
    <row r="587" spans="20:28" ht="13">
      <c r="T587" s="49" t="str">
        <f ca="1">IFERROR(__xludf.DUMMYFUNCTION("""COMPUTED_VALUE"""),"Hmlet")</f>
        <v>Hmlet</v>
      </c>
      <c r="U587" s="49">
        <f ca="1">COUNTIF('Awesome People List-Master'!D:D,T587)</f>
        <v>2</v>
      </c>
      <c r="X587" s="333" t="s">
        <v>6671</v>
      </c>
      <c r="Y587" s="334">
        <v>1</v>
      </c>
      <c r="AB587" s="169">
        <f>ROUND('Awesome People List-Master'!A580,0)</f>
        <v>43936</v>
      </c>
    </row>
    <row r="588" spans="20:28" ht="13">
      <c r="T588" s="49" t="str">
        <f ca="1">IFERROR(__xludf.DUMMYFUNCTION("""COMPUTED_VALUE"""),"Sweet Escape")</f>
        <v>Sweet Escape</v>
      </c>
      <c r="U588" s="49">
        <f ca="1">COUNTIF('Awesome People List-Master'!D:D,T588)</f>
        <v>1</v>
      </c>
      <c r="X588" s="333" t="s">
        <v>4836</v>
      </c>
      <c r="Y588" s="334">
        <v>1</v>
      </c>
      <c r="AB588" s="169">
        <f>ROUND('Awesome People List-Master'!A581,0)</f>
        <v>43936</v>
      </c>
    </row>
    <row r="589" spans="20:28" ht="13">
      <c r="T589" s="49" t="str">
        <f ca="1">IFERROR(__xludf.DUMMYFUNCTION("""COMPUTED_VALUE"""),"SMRT")</f>
        <v>SMRT</v>
      </c>
      <c r="U589" s="49">
        <f ca="1">COUNTIF('Awesome People List-Master'!D:D,T589)</f>
        <v>1</v>
      </c>
      <c r="X589" s="333" t="s">
        <v>3255</v>
      </c>
      <c r="Y589" s="334">
        <v>1</v>
      </c>
      <c r="AB589" s="169">
        <f>ROUND('Awesome People List-Master'!A582,0)</f>
        <v>43936</v>
      </c>
    </row>
    <row r="590" spans="20:28" ht="13">
      <c r="T590" s="49" t="str">
        <f ca="1">IFERROR(__xludf.DUMMYFUNCTION("""COMPUTED_VALUE"""),"Power Mining")</f>
        <v>Power Mining</v>
      </c>
      <c r="U590" s="49">
        <f ca="1">COUNTIF('Awesome People List-Master'!D:D,T590)</f>
        <v>1</v>
      </c>
      <c r="X590" s="333" t="s">
        <v>4879</v>
      </c>
      <c r="Y590" s="334">
        <v>1</v>
      </c>
      <c r="AB590" s="169">
        <f>ROUND('Awesome People List-Master'!A583,0)</f>
        <v>43936</v>
      </c>
    </row>
    <row r="591" spans="20:28" ht="13">
      <c r="T591" s="49" t="str">
        <f ca="1">IFERROR(__xludf.DUMMYFUNCTION("""COMPUTED_VALUE"""),"Seekmi")</f>
        <v>Seekmi</v>
      </c>
      <c r="U591" s="49">
        <f ca="1">COUNTIF('Awesome People List-Master'!D:D,T591)</f>
        <v>1</v>
      </c>
      <c r="X591" s="333" t="s">
        <v>491</v>
      </c>
      <c r="Y591" s="334">
        <v>1</v>
      </c>
      <c r="AB591" s="169">
        <f>ROUND('Awesome People List-Master'!A584,0)</f>
        <v>43936</v>
      </c>
    </row>
    <row r="592" spans="20:28" ht="13">
      <c r="T592" s="49" t="str">
        <f ca="1">IFERROR(__xludf.DUMMYFUNCTION("""COMPUTED_VALUE"""),"GrabJobs Pte Ltd")</f>
        <v>GrabJobs Pte Ltd</v>
      </c>
      <c r="U592" s="49">
        <f ca="1">COUNTIF('Awesome People List-Master'!D:D,T592)</f>
        <v>1</v>
      </c>
      <c r="X592" s="333" t="s">
        <v>2917</v>
      </c>
      <c r="Y592" s="334">
        <v>1</v>
      </c>
      <c r="AB592" s="169">
        <f>ROUND('Awesome People List-Master'!A585,0)</f>
        <v>43936</v>
      </c>
    </row>
    <row r="593" spans="20:28" ht="13">
      <c r="T593" s="49" t="str">
        <f ca="1">IFERROR(__xludf.DUMMYFUNCTION("""COMPUTED_VALUE"""),"Tech Mahindra Limited")</f>
        <v>Tech Mahindra Limited</v>
      </c>
      <c r="U593" s="49">
        <f ca="1">COUNTIF('Awesome People List-Master'!D:D,T593)</f>
        <v>1</v>
      </c>
      <c r="X593" s="333" t="s">
        <v>2515</v>
      </c>
      <c r="Y593" s="334">
        <v>1</v>
      </c>
      <c r="AB593" s="169">
        <f>ROUND('Awesome People List-Master'!A586,0)</f>
        <v>43936</v>
      </c>
    </row>
    <row r="594" spans="20:28" ht="13">
      <c r="T594" s="49" t="str">
        <f ca="1">IFERROR(__xludf.DUMMYFUNCTION("""COMPUTED_VALUE"""),"Lendela ")</f>
        <v xml:space="preserve">Lendela </v>
      </c>
      <c r="U594" s="49">
        <f ca="1">COUNTIF('Awesome People List-Master'!D:D,T594)</f>
        <v>1</v>
      </c>
      <c r="X594" s="333" t="s">
        <v>183</v>
      </c>
      <c r="Y594" s="334">
        <v>1</v>
      </c>
      <c r="AB594" s="169">
        <f>ROUND('Awesome People List-Master'!A587,0)</f>
        <v>43936</v>
      </c>
    </row>
    <row r="595" spans="20:28" ht="13">
      <c r="T595" s="49" t="str">
        <f ca="1">IFERROR(__xludf.DUMMYFUNCTION("""COMPUTED_VALUE"""),"Proficio Consulting")</f>
        <v>Proficio Consulting</v>
      </c>
      <c r="U595" s="49">
        <f ca="1">COUNTIF('Awesome People List-Master'!D:D,T595)</f>
        <v>1</v>
      </c>
      <c r="X595" s="333" t="s">
        <v>446</v>
      </c>
      <c r="Y595" s="334">
        <v>1</v>
      </c>
      <c r="AB595" s="169">
        <f>ROUND('Awesome People List-Master'!A588,0)</f>
        <v>43936</v>
      </c>
    </row>
    <row r="596" spans="20:28" ht="13">
      <c r="T596" s="56" t="str">
        <f ca="1">IFERROR(__xludf.DUMMYFUNCTION("""COMPUTED_VALUE"""),"www.lightful.com")</f>
        <v>www.lightful.com</v>
      </c>
      <c r="U596" s="49">
        <f ca="1">COUNTIF('Awesome People List-Master'!D:D,T596)</f>
        <v>1</v>
      </c>
      <c r="X596" s="333" t="s">
        <v>52</v>
      </c>
      <c r="Y596" s="334">
        <v>1</v>
      </c>
      <c r="AB596" s="169">
        <f>ROUND('Awesome People List-Master'!A589,0)</f>
        <v>43936</v>
      </c>
    </row>
    <row r="597" spans="20:28" ht="13">
      <c r="T597" s="49" t="str">
        <f ca="1">IFERROR(__xludf.DUMMYFUNCTION("""COMPUTED_VALUE"""),"Resources Global Professionals (Singapore) Ptd Ltd (RGP)")</f>
        <v>Resources Global Professionals (Singapore) Ptd Ltd (RGP)</v>
      </c>
      <c r="U597" s="49">
        <f ca="1">COUNTIF('Awesome People List-Master'!D:D,T597)</f>
        <v>1</v>
      </c>
      <c r="X597" s="333" t="s">
        <v>535</v>
      </c>
      <c r="Y597" s="334">
        <v>1</v>
      </c>
      <c r="AB597" s="169">
        <f>ROUND('Awesome People List-Master'!A590,0)</f>
        <v>43936</v>
      </c>
    </row>
    <row r="598" spans="20:28" ht="13">
      <c r="T598" s="49" t="str">
        <f ca="1">IFERROR(__xludf.DUMMYFUNCTION("""COMPUTED_VALUE"""),"Hara Token")</f>
        <v>Hara Token</v>
      </c>
      <c r="U598" s="49">
        <f ca="1">COUNTIF('Awesome People List-Master'!D:D,T598)</f>
        <v>1</v>
      </c>
      <c r="X598" s="333" t="s">
        <v>212</v>
      </c>
      <c r="Y598" s="334">
        <v>1</v>
      </c>
      <c r="AB598" s="169">
        <f>ROUND('Awesome People List-Master'!A591,0)</f>
        <v>43936</v>
      </c>
    </row>
    <row r="599" spans="20:28" ht="13">
      <c r="T599" s="49" t="str">
        <f ca="1">IFERROR(__xludf.DUMMYFUNCTION("""COMPUTED_VALUE"""),"Universitas Pancasila")</f>
        <v>Universitas Pancasila</v>
      </c>
      <c r="U599" s="49">
        <f ca="1">COUNTIF('Awesome People List-Master'!D:D,T599)</f>
        <v>1</v>
      </c>
      <c r="X599" s="333" t="s">
        <v>2744</v>
      </c>
      <c r="Y599" s="334">
        <v>1</v>
      </c>
      <c r="AB599" s="169">
        <f>ROUND('Awesome People List-Master'!A592,0)</f>
        <v>43936</v>
      </c>
    </row>
    <row r="600" spans="20:28" ht="13">
      <c r="T600" s="49" t="str">
        <f ca="1">IFERROR(__xludf.DUMMYFUNCTION("""COMPUTED_VALUE"""),"Young Founders School")</f>
        <v>Young Founders School</v>
      </c>
      <c r="U600" s="49">
        <f ca="1">COUNTIF('Awesome People List-Master'!D:D,T600)</f>
        <v>1</v>
      </c>
      <c r="X600" s="333" t="s">
        <v>697</v>
      </c>
      <c r="Y600" s="334">
        <v>1</v>
      </c>
      <c r="AB600" s="169">
        <f>ROUND('Awesome People List-Master'!A593,0)</f>
        <v>43936</v>
      </c>
    </row>
    <row r="601" spans="20:28" ht="13">
      <c r="T601" s="49" t="str">
        <f ca="1">IFERROR(__xludf.DUMMYFUNCTION("""COMPUTED_VALUE"""),"Boston Consulting Group")</f>
        <v>Boston Consulting Group</v>
      </c>
      <c r="U601" s="49">
        <f ca="1">COUNTIF('Awesome People List-Master'!D:D,T601)</f>
        <v>2</v>
      </c>
      <c r="X601" s="333" t="s">
        <v>3072</v>
      </c>
      <c r="Y601" s="334">
        <v>1</v>
      </c>
      <c r="AB601" s="169">
        <f>ROUND('Awesome People List-Master'!A594,0)</f>
        <v>43936</v>
      </c>
    </row>
    <row r="602" spans="20:28" ht="13">
      <c r="T602" s="49" t="str">
        <f ca="1">IFERROR(__xludf.DUMMYFUNCTION("""COMPUTED_VALUE"""),"Unilever Indonesia")</f>
        <v>Unilever Indonesia</v>
      </c>
      <c r="U602" s="49">
        <f ca="1">COUNTIF('Awesome People List-Master'!D:D,T602)</f>
        <v>1</v>
      </c>
      <c r="X602" s="333" t="s">
        <v>715</v>
      </c>
      <c r="Y602" s="334">
        <v>1</v>
      </c>
      <c r="AB602" s="169">
        <f>ROUND('Awesome People List-Master'!A595,0)</f>
        <v>43936</v>
      </c>
    </row>
    <row r="603" spans="20:28" ht="13">
      <c r="T603" s="49" t="str">
        <f ca="1">IFERROR(__xludf.DUMMYFUNCTION("""COMPUTED_VALUE"""),"PT. Mitra Adiperkasa Tbk")</f>
        <v>PT. Mitra Adiperkasa Tbk</v>
      </c>
      <c r="U603" s="49">
        <f ca="1">COUNTIF('Awesome People List-Master'!D:D,T603)</f>
        <v>1</v>
      </c>
      <c r="X603" s="333" t="s">
        <v>2069</v>
      </c>
      <c r="Y603" s="334">
        <v>1</v>
      </c>
      <c r="AB603" s="169">
        <f>ROUND('Awesome People List-Master'!A596,0)</f>
        <v>43936</v>
      </c>
    </row>
    <row r="604" spans="20:28" ht="13">
      <c r="T604" s="49" t="str">
        <f ca="1">IFERROR(__xludf.DUMMYFUNCTION("""COMPUTED_VALUE"""),"Hellogold Sdn Bhd")</f>
        <v>Hellogold Sdn Bhd</v>
      </c>
      <c r="U604" s="49">
        <f ca="1">COUNTIF('Awesome People List-Master'!D:D,T604)</f>
        <v>1</v>
      </c>
      <c r="X604" s="333" t="s">
        <v>727</v>
      </c>
      <c r="Y604" s="334">
        <v>1</v>
      </c>
      <c r="AB604" s="169">
        <f>ROUND('Awesome People List-Master'!A597,0)</f>
        <v>43936</v>
      </c>
    </row>
    <row r="605" spans="20:28" ht="13">
      <c r="T605" s="49" t="str">
        <f ca="1">IFERROR(__xludf.DUMMYFUNCTION("""COMPUTED_VALUE"""),"Safeguards G4S SDN BHD")</f>
        <v>Safeguards G4S SDN BHD</v>
      </c>
      <c r="U605" s="49">
        <f ca="1">COUNTIF('Awesome People List-Master'!D:D,T605)</f>
        <v>1</v>
      </c>
      <c r="X605" s="333" t="s">
        <v>2271</v>
      </c>
      <c r="Y605" s="334">
        <v>1</v>
      </c>
      <c r="AB605" s="169">
        <f>ROUND('Awesome People List-Master'!A598,0)</f>
        <v>43936</v>
      </c>
    </row>
    <row r="606" spans="20:28" ht="13">
      <c r="T606" s="49" t="str">
        <f ca="1">IFERROR(__xludf.DUMMYFUNCTION("""COMPUTED_VALUE"""),"Glints Indoensia")</f>
        <v>Glints Indoensia</v>
      </c>
      <c r="U606" s="49">
        <f ca="1">COUNTIF('Awesome People List-Master'!D:D,T606)</f>
        <v>1</v>
      </c>
      <c r="X606" s="333" t="s">
        <v>749</v>
      </c>
      <c r="Y606" s="334">
        <v>1</v>
      </c>
      <c r="AB606" s="169">
        <f>ROUND('Awesome People List-Master'!A599,0)</f>
        <v>43936</v>
      </c>
    </row>
    <row r="607" spans="20:28" ht="13">
      <c r="T607" s="49" t="str">
        <f ca="1">IFERROR(__xludf.DUMMYFUNCTION("""COMPUTED_VALUE"""),"PT.Visionet Data International")</f>
        <v>PT.Visionet Data International</v>
      </c>
      <c r="U607" s="49">
        <f ca="1">COUNTIF('Awesome People List-Master'!D:D,T607)</f>
        <v>1</v>
      </c>
      <c r="X607" s="333" t="s">
        <v>2415</v>
      </c>
      <c r="Y607" s="334">
        <v>1</v>
      </c>
      <c r="AB607" s="169">
        <f>ROUND('Awesome People List-Master'!A600,0)</f>
        <v>43936</v>
      </c>
    </row>
    <row r="608" spans="20:28" ht="13">
      <c r="T608" s="49" t="str">
        <f ca="1">IFERROR(__xludf.DUMMYFUNCTION("""COMPUTED_VALUE"""),"Piktochart Sdn Bhd")</f>
        <v>Piktochart Sdn Bhd</v>
      </c>
      <c r="U608" s="49">
        <f ca="1">COUNTIF('Awesome People List-Master'!D:D,T608)</f>
        <v>1</v>
      </c>
      <c r="X608" s="333" t="s">
        <v>96</v>
      </c>
      <c r="Y608" s="334">
        <v>1</v>
      </c>
      <c r="AB608" s="169">
        <f>ROUND('Awesome People List-Master'!A601,0)</f>
        <v>43937</v>
      </c>
    </row>
    <row r="609" spans="20:28" ht="13">
      <c r="T609" s="49" t="str">
        <f ca="1">IFERROR(__xludf.DUMMYFUNCTION("""COMPUTED_VALUE"""),"Tokopedia, PwC")</f>
        <v>Tokopedia, PwC</v>
      </c>
      <c r="U609" s="49">
        <f ca="1">COUNTIF('Awesome People List-Master'!D:D,T609)</f>
        <v>1</v>
      </c>
      <c r="X609" s="333" t="s">
        <v>2611</v>
      </c>
      <c r="Y609" s="334">
        <v>1</v>
      </c>
      <c r="AB609" s="169">
        <f>ROUND('Awesome People List-Master'!A602,0)</f>
        <v>43937</v>
      </c>
    </row>
    <row r="610" spans="20:28" ht="13">
      <c r="T610" s="49" t="str">
        <f ca="1">IFERROR(__xludf.DUMMYFUNCTION("""COMPUTED_VALUE"""),"trivago")</f>
        <v>trivago</v>
      </c>
      <c r="U610" s="49">
        <f ca="1">COUNTIF('Awesome People List-Master'!D:D,T610)</f>
        <v>1</v>
      </c>
      <c r="X610" s="333" t="s">
        <v>774</v>
      </c>
      <c r="Y610" s="334">
        <v>1</v>
      </c>
      <c r="AB610" s="169">
        <f>ROUND('Awesome People List-Master'!A603,0)</f>
        <v>43937</v>
      </c>
    </row>
    <row r="611" spans="20:28" ht="13">
      <c r="T611" s="49" t="str">
        <f ca="1">IFERROR(__xludf.DUMMYFUNCTION("""COMPUTED_VALUE"""),"Bizzy Indonesia")</f>
        <v>Bizzy Indonesia</v>
      </c>
      <c r="U611" s="49">
        <f ca="1">COUNTIF('Awesome People List-Master'!D:D,T611)</f>
        <v>1</v>
      </c>
      <c r="X611" s="333" t="s">
        <v>2836</v>
      </c>
      <c r="Y611" s="334">
        <v>1</v>
      </c>
      <c r="AB611" s="169">
        <f>ROUND('Awesome People List-Master'!A604,0)</f>
        <v>43937</v>
      </c>
    </row>
    <row r="612" spans="20:28" ht="13">
      <c r="T612" s="49" t="str">
        <f ca="1">IFERROR(__xludf.DUMMYFUNCTION("""COMPUTED_VALUE"""),"Klook")</f>
        <v>Klook</v>
      </c>
      <c r="U612" s="49">
        <f ca="1">COUNTIF('Awesome People List-Master'!D:D,T612)</f>
        <v>1</v>
      </c>
      <c r="X612" s="333" t="s">
        <v>782</v>
      </c>
      <c r="Y612" s="334">
        <v>1</v>
      </c>
      <c r="AB612" s="169">
        <f>ROUND('Awesome People List-Master'!A605,0)</f>
        <v>43937</v>
      </c>
    </row>
    <row r="613" spans="20:28" ht="13">
      <c r="T613" s="49" t="str">
        <f ca="1">IFERROR(__xludf.DUMMYFUNCTION("""COMPUTED_VALUE"""),"Amaris Consulting (Malaysia)")</f>
        <v>Amaris Consulting (Malaysia)</v>
      </c>
      <c r="U613" s="49">
        <f ca="1">COUNTIF('Awesome People List-Master'!D:D,T613)</f>
        <v>1</v>
      </c>
      <c r="X613" s="333" t="s">
        <v>2998</v>
      </c>
      <c r="Y613" s="334">
        <v>1</v>
      </c>
      <c r="AB613" s="169">
        <f>ROUND('Awesome People List-Master'!A606,0)</f>
        <v>43937</v>
      </c>
    </row>
    <row r="614" spans="20:28" ht="13">
      <c r="T614" s="49" t="str">
        <f ca="1">IFERROR(__xludf.DUMMYFUNCTION("""COMPUTED_VALUE"""),"Marimakan (PT. Kuliner Awan Bangsa)")</f>
        <v>Marimakan (PT. Kuliner Awan Bangsa)</v>
      </c>
      <c r="U614" s="49">
        <f ca="1">COUNTIF('Awesome People List-Master'!D:D,T614)</f>
        <v>1</v>
      </c>
      <c r="X614" s="333" t="s">
        <v>236</v>
      </c>
      <c r="Y614" s="334">
        <v>1</v>
      </c>
      <c r="AB614" s="169">
        <f>ROUND('Awesome People List-Master'!A607,0)</f>
        <v>43937</v>
      </c>
    </row>
    <row r="615" spans="20:28" ht="13">
      <c r="T615" s="49" t="str">
        <f ca="1">IFERROR(__xludf.DUMMYFUNCTION("""COMPUTED_VALUE"""),"Red Bull Product of Europe")</f>
        <v>Red Bull Product of Europe</v>
      </c>
      <c r="U615" s="49">
        <f ca="1">COUNTIF('Awesome People List-Master'!D:D,T615)</f>
        <v>1</v>
      </c>
      <c r="X615" s="333" t="s">
        <v>3204</v>
      </c>
      <c r="Y615" s="334">
        <v>1</v>
      </c>
      <c r="AB615" s="169">
        <f>ROUND('Awesome People List-Master'!A608,0)</f>
        <v>43937</v>
      </c>
    </row>
    <row r="616" spans="20:28" ht="13">
      <c r="T616" s="49" t="str">
        <f ca="1">IFERROR(__xludf.DUMMYFUNCTION("""COMPUTED_VALUE"""),"Ultravoucher")</f>
        <v>Ultravoucher</v>
      </c>
      <c r="U616" s="49">
        <f ca="1">COUNTIF('Awesome People List-Master'!D:D,T616)</f>
        <v>1</v>
      </c>
      <c r="X616" s="333" t="s">
        <v>808</v>
      </c>
      <c r="Y616" s="334">
        <v>1</v>
      </c>
      <c r="AB616" s="169">
        <f>ROUND('Awesome People List-Master'!A609,0)</f>
        <v>43937</v>
      </c>
    </row>
    <row r="617" spans="20:28" ht="13">
      <c r="T617" s="49" t="str">
        <f ca="1">IFERROR(__xludf.DUMMYFUNCTION("""COMPUTED_VALUE"""),"Minor International")</f>
        <v>Minor International</v>
      </c>
      <c r="U617" s="49">
        <f ca="1">COUNTIF('Awesome People List-Master'!D:D,T617)</f>
        <v>1</v>
      </c>
      <c r="X617" s="333" t="s">
        <v>468</v>
      </c>
      <c r="Y617" s="334">
        <v>1</v>
      </c>
      <c r="AB617" s="169">
        <f>ROUND('Awesome People List-Master'!A610,0)</f>
        <v>43937</v>
      </c>
    </row>
    <row r="618" spans="20:28" ht="13">
      <c r="T618" s="49" t="str">
        <f ca="1">IFERROR(__xludf.DUMMYFUNCTION("""COMPUTED_VALUE"""),"Silberline")</f>
        <v>Silberline</v>
      </c>
      <c r="U618" s="49">
        <f ca="1">COUNTIF('Awesome People List-Master'!D:D,T618)</f>
        <v>1</v>
      </c>
      <c r="X618" s="333" t="s">
        <v>822</v>
      </c>
      <c r="Y618" s="334">
        <v>1</v>
      </c>
      <c r="AB618" s="169">
        <f>ROUND('Awesome People List-Master'!A611,0)</f>
        <v>43937</v>
      </c>
    </row>
    <row r="619" spans="20:28" ht="13">
      <c r="T619" s="49" t="str">
        <f ca="1">IFERROR(__xludf.DUMMYFUNCTION("""COMPUTED_VALUE"""),"PT. Otten Coffee Indonesia")</f>
        <v>PT. Otten Coffee Indonesia</v>
      </c>
      <c r="U619" s="49">
        <f ca="1">COUNTIF('Awesome People List-Master'!D:D,T619)</f>
        <v>1</v>
      </c>
      <c r="X619" s="333" t="s">
        <v>2103</v>
      </c>
      <c r="Y619" s="334">
        <v>1</v>
      </c>
      <c r="AB619" s="169">
        <f>ROUND('Awesome People List-Master'!A612,0)</f>
        <v>43937</v>
      </c>
    </row>
    <row r="620" spans="20:28" ht="13">
      <c r="T620" s="49" t="str">
        <f ca="1">IFERROR(__xludf.DUMMYFUNCTION("""COMPUTED_VALUE"""),"Rhenus Logistics Asia Pacific Pte Ltd")</f>
        <v>Rhenus Logistics Asia Pacific Pte Ltd</v>
      </c>
      <c r="U620" s="49">
        <f ca="1">COUNTIF('Awesome People List-Master'!D:D,T620)</f>
        <v>1</v>
      </c>
      <c r="X620" s="333" t="s">
        <v>829</v>
      </c>
      <c r="Y620" s="334">
        <v>1</v>
      </c>
      <c r="AB620" s="169">
        <f>ROUND('Awesome People List-Master'!A613,0)</f>
        <v>43937</v>
      </c>
    </row>
    <row r="621" spans="20:28" ht="13">
      <c r="T621" s="49" t="str">
        <f ca="1">IFERROR(__xludf.DUMMYFUNCTION("""COMPUTED_VALUE"""),"Stylenook")</f>
        <v>Stylenook</v>
      </c>
      <c r="U621" s="49">
        <f ca="1">COUNTIF('Awesome People List-Master'!D:D,T621)</f>
        <v>1</v>
      </c>
      <c r="X621" s="333" t="s">
        <v>2192</v>
      </c>
      <c r="Y621" s="334">
        <v>1</v>
      </c>
      <c r="AB621" s="169">
        <f>ROUND('Awesome People List-Master'!A614,0)</f>
        <v>43937</v>
      </c>
    </row>
    <row r="622" spans="20:28" ht="13">
      <c r="T622" s="56" t="str">
        <f ca="1">IFERROR(__xludf.DUMMYFUNCTION("""COMPUTED_VALUE"""),"IMURAL.ID")</f>
        <v>IMURAL.ID</v>
      </c>
      <c r="U622" s="49">
        <f ca="1">COUNTIF('Awesome People List-Master'!D:D,T622)</f>
        <v>1</v>
      </c>
      <c r="X622" s="333" t="s">
        <v>838</v>
      </c>
      <c r="Y622" s="334">
        <v>1</v>
      </c>
      <c r="AB622" s="169">
        <f>ROUND('Awesome People List-Master'!A615,0)</f>
        <v>43937</v>
      </c>
    </row>
    <row r="623" spans="20:28" ht="13">
      <c r="T623" s="49" t="str">
        <f ca="1">IFERROR(__xludf.DUMMYFUNCTION("""COMPUTED_VALUE"""),"Bukalapak")</f>
        <v>Bukalapak</v>
      </c>
      <c r="U623" s="49">
        <f ca="1">COUNTIF('Awesome People List-Master'!D:D,T623)</f>
        <v>1</v>
      </c>
      <c r="X623" s="333" t="s">
        <v>2305</v>
      </c>
      <c r="Y623" s="334">
        <v>1</v>
      </c>
      <c r="AB623" s="169">
        <f>ROUND('Awesome People List-Master'!A616,0)</f>
        <v>43937</v>
      </c>
    </row>
    <row r="624" spans="20:28" ht="13">
      <c r="T624" s="49" t="str">
        <f ca="1">IFERROR(__xludf.DUMMYFUNCTION("""COMPUTED_VALUE"""),"CLOUDERA")</f>
        <v>CLOUDERA</v>
      </c>
      <c r="U624" s="49">
        <f ca="1">COUNTIF('Awesome People List-Master'!D:D,T624)</f>
        <v>1</v>
      </c>
      <c r="X624" s="333" t="s">
        <v>855</v>
      </c>
      <c r="Y624" s="334">
        <v>1</v>
      </c>
      <c r="AB624" s="169">
        <f>ROUND('Awesome People List-Master'!A617,0)</f>
        <v>43937</v>
      </c>
    </row>
    <row r="625" spans="20:28" ht="13">
      <c r="T625" s="49" t="str">
        <f ca="1">IFERROR(__xludf.DUMMYFUNCTION("""COMPUTED_VALUE"""),"PT. Jaya Obayashi")</f>
        <v>PT. Jaya Obayashi</v>
      </c>
      <c r="U625" s="49">
        <f ca="1">COUNTIF('Awesome People List-Master'!D:D,T625)</f>
        <v>1</v>
      </c>
      <c r="X625" s="333" t="s">
        <v>2371</v>
      </c>
      <c r="Y625" s="334">
        <v>1</v>
      </c>
      <c r="AB625" s="169">
        <f>ROUND('Awesome People List-Master'!A618,0)</f>
        <v>43937</v>
      </c>
    </row>
    <row r="626" spans="20:28" ht="13">
      <c r="T626" s="49" t="str">
        <f ca="1">IFERROR(__xludf.DUMMYFUNCTION("""COMPUTED_VALUE"""),"Zave Pte Ltd")</f>
        <v>Zave Pte Ltd</v>
      </c>
      <c r="U626" s="49">
        <f ca="1">COUNTIF('Awesome People List-Master'!D:D,T626)</f>
        <v>1</v>
      </c>
      <c r="X626" s="333" t="s">
        <v>865</v>
      </c>
      <c r="Y626" s="334">
        <v>1</v>
      </c>
      <c r="AB626" s="169">
        <f>ROUND('Awesome People List-Master'!A619,0)</f>
        <v>43937</v>
      </c>
    </row>
    <row r="627" spans="20:28" ht="13">
      <c r="T627" s="49" t="str">
        <f ca="1">IFERROR(__xludf.DUMMYFUNCTION("""COMPUTED_VALUE"""),"Home Credit Indonesia")</f>
        <v>Home Credit Indonesia</v>
      </c>
      <c r="U627" s="49">
        <f ca="1">COUNTIF('Awesome People List-Master'!D:D,T627)</f>
        <v>2</v>
      </c>
      <c r="X627" s="333" t="s">
        <v>2464</v>
      </c>
      <c r="Y627" s="334">
        <v>1</v>
      </c>
      <c r="AB627" s="169">
        <f>ROUND('Awesome People List-Master'!A620,0)</f>
        <v>43937</v>
      </c>
    </row>
    <row r="628" spans="20:28" ht="13">
      <c r="T628" s="49" t="str">
        <f ca="1">IFERROR(__xludf.DUMMYFUNCTION("""COMPUTED_VALUE"""),"Hmlet Central Pte Ltd")</f>
        <v>Hmlet Central Pte Ltd</v>
      </c>
      <c r="U628" s="49">
        <f ca="1">COUNTIF('Awesome People List-Master'!D:D,T628)</f>
        <v>1</v>
      </c>
      <c r="X628" s="333" t="s">
        <v>247</v>
      </c>
      <c r="Y628" s="334">
        <v>1</v>
      </c>
      <c r="AB628" s="169">
        <f>ROUND('Awesome People List-Master'!A621,0)</f>
        <v>43937</v>
      </c>
    </row>
    <row r="629" spans="20:28" ht="13">
      <c r="T629" s="49" t="str">
        <f ca="1">IFERROR(__xludf.DUMMYFUNCTION("""COMPUTED_VALUE"""),"PT. Tennova Cipta Inatech (Pomona)")</f>
        <v>PT. Tennova Cipta Inatech (Pomona)</v>
      </c>
      <c r="U629" s="49">
        <f ca="1">COUNTIF('Awesome People List-Master'!D:D,T629)</f>
        <v>1</v>
      </c>
      <c r="X629" s="333" t="s">
        <v>2565</v>
      </c>
      <c r="Y629" s="334">
        <v>1</v>
      </c>
      <c r="AB629" s="169">
        <f>ROUND('Awesome People List-Master'!A622,0)</f>
        <v>43937</v>
      </c>
    </row>
    <row r="630" spans="20:28" ht="13">
      <c r="T630" s="49" t="str">
        <f ca="1">IFERROR(__xludf.DUMMYFUNCTION("""COMPUTED_VALUE"""),"Motiprins")</f>
        <v>Motiprins</v>
      </c>
      <c r="U630" s="49">
        <f ca="1">COUNTIF('Awesome People List-Master'!D:D,T630)</f>
        <v>1</v>
      </c>
      <c r="X630" s="333" t="s">
        <v>896</v>
      </c>
      <c r="Y630" s="334">
        <v>1</v>
      </c>
      <c r="AB630" s="169">
        <f>ROUND('Awesome People List-Master'!A623,0)</f>
        <v>43937</v>
      </c>
    </row>
    <row r="631" spans="20:28" ht="13">
      <c r="T631" s="49" t="str">
        <f ca="1">IFERROR(__xludf.DUMMYFUNCTION("""COMPUTED_VALUE"""),"Savonix Pte Ltd")</f>
        <v>Savonix Pte Ltd</v>
      </c>
      <c r="U631" s="49">
        <f ca="1">COUNTIF('Awesome People List-Master'!D:D,T631)</f>
        <v>1</v>
      </c>
      <c r="X631" s="333" t="s">
        <v>584</v>
      </c>
      <c r="Y631" s="334">
        <v>1</v>
      </c>
      <c r="AB631" s="169">
        <f>ROUND('Awesome People List-Master'!A624,0)</f>
        <v>43937</v>
      </c>
    </row>
    <row r="632" spans="20:28" ht="13">
      <c r="T632" s="49" t="str">
        <f ca="1">IFERROR(__xludf.DUMMYFUNCTION("""COMPUTED_VALUE"""),"Deliveroo")</f>
        <v>Deliveroo</v>
      </c>
      <c r="U632" s="49">
        <f ca="1">COUNTIF('Awesome People List-Master'!D:D,T632)</f>
        <v>2</v>
      </c>
      <c r="X632" s="333" t="s">
        <v>909</v>
      </c>
      <c r="Y632" s="334">
        <v>1</v>
      </c>
      <c r="AB632" s="169">
        <f>ROUND('Awesome People List-Master'!A625,0)</f>
        <v>43937</v>
      </c>
    </row>
    <row r="633" spans="20:28" ht="13">
      <c r="T633" s="49" t="str">
        <f ca="1">IFERROR(__xludf.DUMMYFUNCTION("""COMPUTED_VALUE"""),"PT Pasona HR Indonesia")</f>
        <v>PT Pasona HR Indonesia</v>
      </c>
      <c r="U633" s="49">
        <f ca="1">COUNTIF('Awesome People List-Master'!D:D,T633)</f>
        <v>1</v>
      </c>
      <c r="X633" s="333" t="s">
        <v>2798</v>
      </c>
      <c r="Y633" s="334">
        <v>1</v>
      </c>
      <c r="AB633" s="169">
        <f>ROUND('Awesome People List-Master'!A626,0)</f>
        <v>43937</v>
      </c>
    </row>
    <row r="634" spans="20:28" ht="13">
      <c r="T634" s="49" t="str">
        <f ca="1">IFERROR(__xludf.DUMMYFUNCTION("""COMPUTED_VALUE"""),"Publicis Groupe ")</f>
        <v xml:space="preserve">Publicis Groupe </v>
      </c>
      <c r="U634" s="49">
        <f ca="1">COUNTIF('Awesome People List-Master'!D:D,T634)</f>
        <v>1</v>
      </c>
      <c r="X634" s="333" t="s">
        <v>919</v>
      </c>
      <c r="Y634" s="334">
        <v>1</v>
      </c>
      <c r="AB634" s="169">
        <f>ROUND('Awesome People List-Master'!A627,0)</f>
        <v>43937</v>
      </c>
    </row>
    <row r="635" spans="20:28" ht="13">
      <c r="T635" s="49" t="str">
        <f ca="1">IFERROR(__xludf.DUMMYFUNCTION("""COMPUTED_VALUE"""),"essilor luxottica")</f>
        <v>essilor luxottica</v>
      </c>
      <c r="U635" s="49">
        <f ca="1">COUNTIF('Awesome People List-Master'!D:D,T635)</f>
        <v>1</v>
      </c>
      <c r="X635" s="333" t="s">
        <v>2888</v>
      </c>
      <c r="Y635" s="334">
        <v>1</v>
      </c>
      <c r="AB635" s="169">
        <f>ROUND('Awesome People List-Master'!A628,0)</f>
        <v>43937</v>
      </c>
    </row>
    <row r="636" spans="20:28" ht="13">
      <c r="T636" s="49" t="str">
        <f ca="1">IFERROR(__xludf.DUMMYFUNCTION("""COMPUTED_VALUE"""),"ZONE ARCHITECT ")</f>
        <v xml:space="preserve">ZONE ARCHITECT </v>
      </c>
      <c r="U636" s="49">
        <f ca="1">COUNTIF('Awesome People List-Master'!D:D,T636)</f>
        <v>1</v>
      </c>
      <c r="X636" s="333" t="s">
        <v>928</v>
      </c>
      <c r="Y636" s="334">
        <v>1</v>
      </c>
      <c r="AB636" s="169">
        <f>ROUND('Awesome People List-Master'!A629,0)</f>
        <v>43938</v>
      </c>
    </row>
    <row r="637" spans="20:28" ht="13">
      <c r="T637" s="49" t="str">
        <f ca="1">IFERROR(__xludf.DUMMYFUNCTION("""COMPUTED_VALUE"""),"Fullerton Health Indonesia")</f>
        <v>Fullerton Health Indonesia</v>
      </c>
      <c r="U637" s="49">
        <f ca="1">COUNTIF('Awesome People List-Master'!D:D,T637)</f>
        <v>1</v>
      </c>
      <c r="X637" s="333" t="s">
        <v>2954</v>
      </c>
      <c r="Y637" s="334">
        <v>1</v>
      </c>
      <c r="AB637" s="169">
        <f>ROUND('Awesome People List-Master'!A630,0)</f>
        <v>43938</v>
      </c>
    </row>
    <row r="638" spans="20:28" ht="13">
      <c r="T638" s="49" t="str">
        <f ca="1">IFERROR(__xludf.DUMMYFUNCTION("""COMPUTED_VALUE"""),"Cialfo")</f>
        <v>Cialfo</v>
      </c>
      <c r="U638" s="49">
        <f ca="1">COUNTIF('Awesome People List-Master'!D:D,T638)</f>
        <v>1</v>
      </c>
      <c r="X638" s="333" t="s">
        <v>962</v>
      </c>
      <c r="Y638" s="334">
        <v>1</v>
      </c>
      <c r="AB638" s="169">
        <f>ROUND('Awesome People List-Master'!A631,0)</f>
        <v>43938</v>
      </c>
    </row>
    <row r="639" spans="20:28" ht="13">
      <c r="T639" s="49" t="str">
        <f ca="1">IFERROR(__xludf.DUMMYFUNCTION("""COMPUTED_VALUE"""),"EY")</f>
        <v>EY</v>
      </c>
      <c r="U639" s="49">
        <f ca="1">COUNTIF('Awesome People List-Master'!D:D,T639)</f>
        <v>1</v>
      </c>
      <c r="X639" s="333" t="s">
        <v>3037</v>
      </c>
      <c r="Y639" s="334">
        <v>1</v>
      </c>
      <c r="AB639" s="169">
        <f>ROUND('Awesome People List-Master'!A632,0)</f>
        <v>43938</v>
      </c>
    </row>
    <row r="640" spans="20:28" ht="13">
      <c r="T640" s="49" t="str">
        <f ca="1">IFERROR(__xludf.DUMMYFUNCTION("""COMPUTED_VALUE"""),"Multi Nasional Company")</f>
        <v>Multi Nasional Company</v>
      </c>
      <c r="U640" s="49">
        <f ca="1">COUNTIF('Awesome People List-Master'!D:D,T640)</f>
        <v>1</v>
      </c>
      <c r="X640" s="333" t="s">
        <v>973</v>
      </c>
      <c r="Y640" s="334">
        <v>1</v>
      </c>
      <c r="AB640" s="169">
        <f>ROUND('Awesome People List-Master'!A633,0)</f>
        <v>43938</v>
      </c>
    </row>
    <row r="641" spans="20:28" ht="13">
      <c r="T641" s="49" t="str">
        <f ca="1">IFERROR(__xludf.DUMMYFUNCTION("""COMPUTED_VALUE"""),"Deliveroo ")</f>
        <v xml:space="preserve">Deliveroo </v>
      </c>
      <c r="U641" s="49">
        <f ca="1">COUNTIF('Awesome People List-Master'!D:D,T641)</f>
        <v>1</v>
      </c>
      <c r="X641" s="333" t="s">
        <v>3115</v>
      </c>
      <c r="Y641" s="334">
        <v>1</v>
      </c>
      <c r="AB641" s="169">
        <f>ROUND('Awesome People List-Master'!A634,0)</f>
        <v>43938</v>
      </c>
    </row>
    <row r="642" spans="20:28" ht="13">
      <c r="T642" s="49" t="str">
        <f ca="1">IFERROR(__xludf.DUMMYFUNCTION("""COMPUTED_VALUE"""),"Maestro in Training")</f>
        <v>Maestro in Training</v>
      </c>
      <c r="U642" s="49">
        <f ca="1">COUNTIF('Awesome People List-Master'!D:D,T642)</f>
        <v>1</v>
      </c>
      <c r="X642" s="333" t="s">
        <v>258</v>
      </c>
      <c r="Y642" s="334">
        <v>1</v>
      </c>
      <c r="AB642" s="169">
        <f>ROUND('Awesome People List-Master'!A635,0)</f>
        <v>43938</v>
      </c>
    </row>
    <row r="643" spans="20:28" ht="13">
      <c r="T643" s="56" t="str">
        <f ca="1">IFERROR(__xludf.DUMMYFUNCTION("""COMPUTED_VALUE"""),"Matahari.com")</f>
        <v>Matahari.com</v>
      </c>
      <c r="U643" s="49">
        <f ca="1">COUNTIF('Awesome People List-Master'!D:D,T643)</f>
        <v>1</v>
      </c>
      <c r="X643" s="333" t="s">
        <v>1909</v>
      </c>
      <c r="Y643" s="334">
        <v>1</v>
      </c>
      <c r="AB643" s="169">
        <f>ROUND('Awesome People List-Master'!A636,0)</f>
        <v>43938</v>
      </c>
    </row>
    <row r="644" spans="20:28" ht="13">
      <c r="T644" s="49" t="str">
        <f ca="1">IFERROR(__xludf.DUMMYFUNCTION("""COMPUTED_VALUE"""),"SenSING Pte Ltd")</f>
        <v>SenSING Pte Ltd</v>
      </c>
      <c r="U644" s="49">
        <f ca="1">COUNTIF('Awesome People List-Master'!D:D,T644)</f>
        <v>1</v>
      </c>
      <c r="X644" s="333" t="s">
        <v>993</v>
      </c>
      <c r="Y644" s="334">
        <v>1</v>
      </c>
      <c r="AB644" s="169">
        <f>ROUND('Awesome People List-Master'!A637,0)</f>
        <v>43938</v>
      </c>
    </row>
    <row r="645" spans="20:28" ht="13">
      <c r="T645" s="49" t="str">
        <f ca="1">IFERROR(__xludf.DUMMYFUNCTION("""COMPUTED_VALUE"""),"Airbnb")</f>
        <v>Airbnb</v>
      </c>
      <c r="U645" s="49">
        <f ca="1">COUNTIF('Awesome People List-Master'!D:D,T645)</f>
        <v>14</v>
      </c>
      <c r="X645" s="333" t="s">
        <v>2008</v>
      </c>
      <c r="Y645" s="334">
        <v>1</v>
      </c>
      <c r="AB645" s="169">
        <f>ROUND('Awesome People List-Master'!A638,0)</f>
        <v>43938</v>
      </c>
    </row>
    <row r="646" spans="20:28" ht="13">
      <c r="T646" s="49" t="str">
        <f ca="1">IFERROR(__xludf.DUMMYFUNCTION("""COMPUTED_VALUE"""),"Airbnb ")</f>
        <v xml:space="preserve">Airbnb </v>
      </c>
      <c r="U646" s="49">
        <f ca="1">COUNTIF('Awesome People List-Master'!D:D,T646)</f>
        <v>1</v>
      </c>
      <c r="X646" s="333" t="s">
        <v>1003</v>
      </c>
      <c r="Y646" s="334">
        <v>1</v>
      </c>
      <c r="AB646" s="169">
        <f>ROUND('Awesome People List-Master'!A639,0)</f>
        <v>43938</v>
      </c>
    </row>
    <row r="647" spans="20:28" ht="13">
      <c r="T647" s="49" t="str">
        <f ca="1">IFERROR(__xludf.DUMMYFUNCTION("""COMPUTED_VALUE"""),"Protenga")</f>
        <v>Protenga</v>
      </c>
      <c r="U647" s="49">
        <f ca="1">COUNTIF('Awesome People List-Master'!D:D,T647)</f>
        <v>1</v>
      </c>
      <c r="X647" s="333" t="s">
        <v>2051</v>
      </c>
      <c r="Y647" s="334">
        <v>1</v>
      </c>
      <c r="AB647" s="169">
        <f>ROUND('Awesome People List-Master'!A640,0)</f>
        <v>43938</v>
      </c>
    </row>
    <row r="648" spans="20:28" ht="13">
      <c r="T648" s="49" t="str">
        <f ca="1">IFERROR(__xludf.DUMMYFUNCTION("""COMPUTED_VALUE"""),"Savonix Inc")</f>
        <v>Savonix Inc</v>
      </c>
      <c r="U648" s="49">
        <f ca="1">COUNTIF('Awesome People List-Master'!D:D,T648)</f>
        <v>1</v>
      </c>
      <c r="X648" s="333" t="s">
        <v>1027</v>
      </c>
      <c r="Y648" s="334">
        <v>1</v>
      </c>
      <c r="AB648" s="169">
        <f>ROUND('Awesome People List-Master'!A641,0)</f>
        <v>43938</v>
      </c>
    </row>
    <row r="649" spans="20:28" ht="13">
      <c r="T649" s="49" t="str">
        <f ca="1">IFERROR(__xludf.DUMMYFUNCTION("""COMPUTED_VALUE"""),"Inspire-Tech Pte Ltd")</f>
        <v>Inspire-Tech Pte Ltd</v>
      </c>
      <c r="U649" s="49">
        <f ca="1">COUNTIF('Awesome People List-Master'!D:D,T649)</f>
        <v>1</v>
      </c>
      <c r="X649" s="333" t="s">
        <v>2086</v>
      </c>
      <c r="Y649" s="334">
        <v>1</v>
      </c>
      <c r="AB649" s="169">
        <f>ROUND('Awesome People List-Master'!A642,0)</f>
        <v>43938</v>
      </c>
    </row>
    <row r="650" spans="20:28" ht="13">
      <c r="T650" s="49" t="str">
        <f ca="1">IFERROR(__xludf.DUMMYFUNCTION("""COMPUTED_VALUE"""),"Shiseido Travel Retail Asia")</f>
        <v>Shiseido Travel Retail Asia</v>
      </c>
      <c r="U650" s="49">
        <f ca="1">COUNTIF('Awesome People List-Master'!D:D,T650)</f>
        <v>1</v>
      </c>
      <c r="X650" s="333" t="s">
        <v>1035</v>
      </c>
      <c r="Y650" s="334">
        <v>1</v>
      </c>
      <c r="AB650" s="169">
        <f>ROUND('Awesome People List-Master'!A643,0)</f>
        <v>43938</v>
      </c>
    </row>
    <row r="651" spans="20:28" ht="13">
      <c r="T651" s="49" t="str">
        <f ca="1">IFERROR(__xludf.DUMMYFUNCTION("""COMPUTED_VALUE"""),"PSA")</f>
        <v>PSA</v>
      </c>
      <c r="U651" s="49">
        <f ca="1">COUNTIF('Awesome People List-Master'!D:D,T651)</f>
        <v>1</v>
      </c>
      <c r="X651" s="333" t="s">
        <v>2121</v>
      </c>
      <c r="Y651" s="334">
        <v>1</v>
      </c>
      <c r="AB651" s="169">
        <f>ROUND('Awesome People List-Master'!A644,0)</f>
        <v>43938</v>
      </c>
    </row>
    <row r="652" spans="20:28" ht="13">
      <c r="T652" s="49" t="str">
        <f ca="1">IFERROR(__xludf.DUMMYFUNCTION("""COMPUTED_VALUE"""),"Cohive (PT Evi Asia Tenggara)")</f>
        <v>Cohive (PT Evi Asia Tenggara)</v>
      </c>
      <c r="U652" s="49">
        <f ca="1">COUNTIF('Awesome People List-Master'!D:D,T652)</f>
        <v>1</v>
      </c>
      <c r="X652" s="333" t="s">
        <v>268</v>
      </c>
      <c r="Y652" s="334">
        <v>1</v>
      </c>
      <c r="AB652" s="169">
        <f>ROUND('Awesome People List-Master'!A645,0)</f>
        <v>43938</v>
      </c>
    </row>
    <row r="653" spans="20:28" ht="13">
      <c r="T653" s="49" t="str">
        <f ca="1">IFERROR(__xludf.DUMMYFUNCTION("""COMPUTED_VALUE"""),"UM")</f>
        <v>UM</v>
      </c>
      <c r="U653" s="49">
        <f ca="1">COUNTIF('Awesome People List-Master'!D:D,T653)</f>
        <v>1</v>
      </c>
      <c r="X653" s="333" t="s">
        <v>2173</v>
      </c>
      <c r="Y653" s="334">
        <v>1</v>
      </c>
      <c r="AB653" s="169">
        <f>ROUND('Awesome People List-Master'!A646,0)</f>
        <v>43938</v>
      </c>
    </row>
    <row r="654" spans="20:28" ht="13">
      <c r="T654" s="49" t="str">
        <f ca="1">IFERROR(__xludf.DUMMYFUNCTION("""COMPUTED_VALUE"""),"Coworking Space at Cohive Space")</f>
        <v>Coworking Space at Cohive Space</v>
      </c>
      <c r="U654" s="49">
        <f ca="1">COUNTIF('Awesome People List-Master'!D:D,T654)</f>
        <v>3</v>
      </c>
      <c r="X654" s="333" t="s">
        <v>1052</v>
      </c>
      <c r="Y654" s="334">
        <v>1</v>
      </c>
      <c r="AB654" s="169">
        <f>ROUND('Awesome People List-Master'!A647,0)</f>
        <v>43938</v>
      </c>
    </row>
    <row r="655" spans="20:28" ht="13">
      <c r="T655" s="49" t="str">
        <f ca="1">IFERROR(__xludf.DUMMYFUNCTION("""COMPUTED_VALUE"""),"PT Tennova Cipta Inatech")</f>
        <v>PT Tennova Cipta Inatech</v>
      </c>
      <c r="U655" s="49">
        <f ca="1">COUNTIF('Awesome People List-Master'!D:D,T655)</f>
        <v>3</v>
      </c>
      <c r="X655" s="333" t="s">
        <v>2251</v>
      </c>
      <c r="Y655" s="334">
        <v>1</v>
      </c>
      <c r="AB655" s="169">
        <f>ROUND('Awesome People List-Master'!A648,0)</f>
        <v>43938</v>
      </c>
    </row>
    <row r="656" spans="20:28" ht="13">
      <c r="T656" s="49" t="str">
        <f ca="1">IFERROR(__xludf.DUMMYFUNCTION("""COMPUTED_VALUE"""),"Boost International Pte Ltd")</f>
        <v>Boost International Pte Ltd</v>
      </c>
      <c r="U656" s="49">
        <f ca="1">COUNTIF('Awesome People List-Master'!D:D,T656)</f>
        <v>1</v>
      </c>
      <c r="X656" s="333" t="s">
        <v>1060</v>
      </c>
      <c r="Y656" s="334">
        <v>1</v>
      </c>
      <c r="AB656" s="169">
        <f>ROUND('Awesome People List-Master'!A649,0)</f>
        <v>43938</v>
      </c>
    </row>
    <row r="657" spans="20:28" ht="13">
      <c r="T657" s="49" t="str">
        <f ca="1">IFERROR(__xludf.DUMMYFUNCTION("""COMPUTED_VALUE"""),"Paktor Pte Ltd.")</f>
        <v>Paktor Pte Ltd.</v>
      </c>
      <c r="U657" s="49">
        <f ca="1">COUNTIF('Awesome People List-Master'!D:D,T657)</f>
        <v>1</v>
      </c>
      <c r="X657" s="333" t="s">
        <v>2283</v>
      </c>
      <c r="Y657" s="334">
        <v>1</v>
      </c>
      <c r="AB657" s="169">
        <f>ROUND('Awesome People List-Master'!A650,0)</f>
        <v>43938</v>
      </c>
    </row>
    <row r="658" spans="20:28" ht="13">
      <c r="T658" s="49" t="str">
        <f ca="1">IFERROR(__xludf.DUMMYFUNCTION("""COMPUTED_VALUE"""),"Horangi Cybersecurity")</f>
        <v>Horangi Cybersecurity</v>
      </c>
      <c r="U658" s="49">
        <f ca="1">COUNTIF('Awesome People List-Master'!D:D,T658)</f>
        <v>1</v>
      </c>
      <c r="X658" s="333" t="s">
        <v>1077</v>
      </c>
      <c r="Y658" s="334">
        <v>1</v>
      </c>
      <c r="AB658" s="169">
        <f>ROUND('Awesome People List-Master'!A651,0)</f>
        <v>43939</v>
      </c>
    </row>
    <row r="659" spans="20:28" ht="13">
      <c r="T659" s="49" t="str">
        <f ca="1">IFERROR(__xludf.DUMMYFUNCTION("""COMPUTED_VALUE"""),"PT LG ELECTRONICS INDONESIA")</f>
        <v>PT LG ELECTRONICS INDONESIA</v>
      </c>
      <c r="U659" s="49">
        <f ca="1">COUNTIF('Awesome People List-Master'!D:D,T659)</f>
        <v>1</v>
      </c>
      <c r="X659" s="333" t="s">
        <v>2322</v>
      </c>
      <c r="Y659" s="334">
        <v>1</v>
      </c>
      <c r="AB659" s="169" t="e">
        <f>ROUND(#REF!,0)</f>
        <v>#REF!</v>
      </c>
    </row>
    <row r="660" spans="20:28" ht="13">
      <c r="T660" s="49" t="str">
        <f ca="1">IFERROR(__xludf.DUMMYFUNCTION("""COMPUTED_VALUE"""),"CreativeDrive")</f>
        <v>CreativeDrive</v>
      </c>
      <c r="U660" s="49">
        <f ca="1">COUNTIF('Awesome People List-Master'!D:D,T660)</f>
        <v>1</v>
      </c>
      <c r="X660" s="333" t="s">
        <v>1090</v>
      </c>
      <c r="Y660" s="334">
        <v>1</v>
      </c>
      <c r="AB660" s="169">
        <f>ROUND('Awesome People List-Master'!A652,0)</f>
        <v>43939</v>
      </c>
    </row>
    <row r="661" spans="20:28" ht="13">
      <c r="T661" s="49" t="str">
        <f ca="1">IFERROR(__xludf.DUMMYFUNCTION("""COMPUTED_VALUE"""),"Thousand Sunny PIK")</f>
        <v>Thousand Sunny PIK</v>
      </c>
      <c r="U661" s="49">
        <f ca="1">COUNTIF('Awesome People List-Master'!D:D,T661)</f>
        <v>1</v>
      </c>
      <c r="X661" s="333" t="s">
        <v>2360</v>
      </c>
      <c r="Y661" s="334">
        <v>1</v>
      </c>
      <c r="AB661" s="169">
        <f>ROUND('Awesome People List-Master'!A653,0)</f>
        <v>43939</v>
      </c>
    </row>
    <row r="662" spans="20:28" ht="13">
      <c r="T662" s="49" t="str">
        <f ca="1">IFERROR(__xludf.DUMMYFUNCTION("""COMPUTED_VALUE"""),"Aspire SEA")</f>
        <v>Aspire SEA</v>
      </c>
      <c r="U662" s="49">
        <f ca="1">COUNTIF('Awesome People List-Master'!D:D,T662)</f>
        <v>1</v>
      </c>
      <c r="X662" s="333" t="s">
        <v>1104</v>
      </c>
      <c r="Y662" s="334">
        <v>1</v>
      </c>
      <c r="AB662" s="169">
        <f>ROUND('Awesome People List-Master'!A654,0)</f>
        <v>43939</v>
      </c>
    </row>
    <row r="663" spans="20:28" ht="13">
      <c r="T663" s="49" t="str">
        <f ca="1">IFERROR(__xludf.DUMMYFUNCTION("""COMPUTED_VALUE"""),"Christina's")</f>
        <v>Christina's</v>
      </c>
      <c r="U663" s="49">
        <f ca="1">COUNTIF('Awesome People List-Master'!D:D,T663)</f>
        <v>1</v>
      </c>
      <c r="X663" s="333" t="s">
        <v>2395</v>
      </c>
      <c r="Y663" s="334">
        <v>1</v>
      </c>
      <c r="AB663" s="169">
        <f>ROUND('Awesome People List-Master'!A655,0)</f>
        <v>43939</v>
      </c>
    </row>
    <row r="664" spans="20:28" ht="13">
      <c r="T664" s="49" t="str">
        <f ca="1">IFERROR(__xludf.DUMMYFUNCTION("""COMPUTED_VALUE"""),"Travelodge Hotels Asia")</f>
        <v>Travelodge Hotels Asia</v>
      </c>
      <c r="U664" s="49">
        <f ca="1">COUNTIF('Awesome People List-Master'!D:D,T664)</f>
        <v>1</v>
      </c>
      <c r="X664" s="333" t="s">
        <v>1111</v>
      </c>
      <c r="Y664" s="334">
        <v>1</v>
      </c>
      <c r="AB664" s="169">
        <f>ROUND('Awesome People List-Master'!A656,0)</f>
        <v>43939</v>
      </c>
    </row>
    <row r="665" spans="20:28" ht="13">
      <c r="T665" s="49" t="str">
        <f ca="1">IFERROR(__xludf.DUMMYFUNCTION("""COMPUTED_VALUE"""),"New Chien Te Hang Co Ltd")</f>
        <v>New Chien Te Hang Co Ltd</v>
      </c>
      <c r="U665" s="49">
        <f ca="1">COUNTIF('Awesome People List-Master'!D:D,T665)</f>
        <v>1</v>
      </c>
      <c r="X665" s="333" t="s">
        <v>2435</v>
      </c>
      <c r="Y665" s="334">
        <v>1</v>
      </c>
      <c r="AB665" s="169">
        <f>ROUND('Awesome People List-Master'!A657,0)</f>
        <v>43939</v>
      </c>
    </row>
    <row r="666" spans="20:28" ht="13">
      <c r="T666" s="49" t="str">
        <f ca="1">IFERROR(__xludf.DUMMYFUNCTION("""COMPUTED_VALUE"""),"SeenThis")</f>
        <v>SeenThis</v>
      </c>
      <c r="U666" s="49">
        <f ca="1">COUNTIF('Awesome People List-Master'!D:D,T666)</f>
        <v>1</v>
      </c>
      <c r="X666" s="333" t="s">
        <v>1120</v>
      </c>
      <c r="Y666" s="334">
        <v>1</v>
      </c>
      <c r="AB666" s="169">
        <f>ROUND('Awesome People List-Master'!A658,0)</f>
        <v>43939</v>
      </c>
    </row>
    <row r="667" spans="20:28" ht="13">
      <c r="T667" s="49" t="str">
        <f ca="1">IFERROR(__xludf.DUMMYFUNCTION("""COMPUTED_VALUE"""),"OxfordCaps Pte Ltd")</f>
        <v>OxfordCaps Pte Ltd</v>
      </c>
      <c r="U667" s="49">
        <f ca="1">COUNTIF('Awesome People List-Master'!D:D,T667)</f>
        <v>1</v>
      </c>
      <c r="X667" s="333" t="s">
        <v>2480</v>
      </c>
      <c r="Y667" s="334">
        <v>1</v>
      </c>
      <c r="AB667" s="169">
        <f>ROUND('Awesome People List-Master'!A659,0)</f>
        <v>43939</v>
      </c>
    </row>
    <row r="668" spans="20:28" ht="13">
      <c r="T668" s="49" t="str">
        <f ca="1">IFERROR(__xludf.DUMMYFUNCTION("""COMPUTED_VALUE"""),"OCI")</f>
        <v>OCI</v>
      </c>
      <c r="U668" s="49">
        <f ca="1">COUNTIF('Awesome People List-Master'!D:D,T668)</f>
        <v>1</v>
      </c>
      <c r="X668" s="333" t="s">
        <v>1128</v>
      </c>
      <c r="Y668" s="334">
        <v>1</v>
      </c>
      <c r="AB668" s="169">
        <f>ROUND('Awesome People List-Master'!A660,0)</f>
        <v>43939</v>
      </c>
    </row>
    <row r="669" spans="20:28" ht="13">
      <c r="T669" s="49" t="str">
        <f ca="1">IFERROR(__xludf.DUMMYFUNCTION("""COMPUTED_VALUE"""),"Honeywell")</f>
        <v>Honeywell</v>
      </c>
      <c r="U669" s="49">
        <f ca="1">COUNTIF('Awesome People List-Master'!D:D,T669)</f>
        <v>1</v>
      </c>
      <c r="X669" s="333" t="s">
        <v>2541</v>
      </c>
      <c r="Y669" s="334">
        <v>1</v>
      </c>
      <c r="AB669" s="169">
        <f>ROUND('Awesome People List-Master'!A661,0)</f>
        <v>43940</v>
      </c>
    </row>
    <row r="670" spans="20:28" ht="13">
      <c r="T670" s="49" t="str">
        <f ca="1">IFERROR(__xludf.DUMMYFUNCTION("""COMPUTED_VALUE"""),"DB Schenker")</f>
        <v>DB Schenker</v>
      </c>
      <c r="U670" s="49">
        <f ca="1">COUNTIF('Awesome People List-Master'!D:D,T670)</f>
        <v>1</v>
      </c>
      <c r="X670" s="333" t="s">
        <v>1137</v>
      </c>
      <c r="Y670" s="334">
        <v>1</v>
      </c>
      <c r="AB670" s="169">
        <f>ROUND('Awesome People List-Master'!A662,0)</f>
        <v>43940</v>
      </c>
    </row>
    <row r="671" spans="20:28" ht="13">
      <c r="T671" s="49" t="str">
        <f ca="1">IFERROR(__xludf.DUMMYFUNCTION("""COMPUTED_VALUE"""),"Adgo")</f>
        <v>Adgo</v>
      </c>
      <c r="U671" s="49">
        <f ca="1">COUNTIF('Awesome People List-Master'!D:D,T671)</f>
        <v>1</v>
      </c>
      <c r="X671" s="333" t="s">
        <v>2587</v>
      </c>
      <c r="Y671" s="334">
        <v>1</v>
      </c>
      <c r="AB671" s="169">
        <f>ROUND('Awesome People List-Master'!A663,0)</f>
        <v>43940</v>
      </c>
    </row>
    <row r="672" spans="20:28" ht="13">
      <c r="T672" s="49" t="str">
        <f ca="1">IFERROR(__xludf.DUMMYFUNCTION("""COMPUTED_VALUE"""),"MyMy and Workana")</f>
        <v>MyMy and Workana</v>
      </c>
      <c r="U672" s="49">
        <f ca="1">COUNTIF('Awesome People List-Master'!D:D,T672)</f>
        <v>1</v>
      </c>
      <c r="X672" s="333" t="s">
        <v>1143</v>
      </c>
      <c r="Y672" s="334">
        <v>1</v>
      </c>
      <c r="AB672" s="169">
        <f>ROUND('Awesome People List-Master'!A664,0)</f>
        <v>43940</v>
      </c>
    </row>
    <row r="673" spans="20:28" ht="13">
      <c r="T673" s="49" t="str">
        <f ca="1">IFERROR(__xludf.DUMMYFUNCTION("""COMPUTED_VALUE"""),"Shemaroo Entertainment Ltd")</f>
        <v>Shemaroo Entertainment Ltd</v>
      </c>
      <c r="U673" s="49">
        <f ca="1">COUNTIF('Awesome People List-Master'!D:D,T673)</f>
        <v>1</v>
      </c>
      <c r="X673" s="333" t="s">
        <v>572</v>
      </c>
      <c r="Y673" s="334">
        <v>1</v>
      </c>
      <c r="AB673" s="169">
        <f>ROUND('Awesome People List-Master'!A665,0)</f>
        <v>43940</v>
      </c>
    </row>
    <row r="674" spans="20:28" ht="13">
      <c r="T674" s="49" t="str">
        <f ca="1">IFERROR(__xludf.DUMMYFUNCTION("""COMPUTED_VALUE"""),"Panipurizz")</f>
        <v>Panipurizz</v>
      </c>
      <c r="U674" s="49">
        <f ca="1">COUNTIF('Awesome People List-Master'!D:D,T674)</f>
        <v>1</v>
      </c>
      <c r="X674" s="333" t="s">
        <v>111</v>
      </c>
      <c r="Y674" s="334">
        <v>1</v>
      </c>
      <c r="AB674" s="169">
        <f>ROUND('Awesome People List-Master'!A666,0)</f>
        <v>43940</v>
      </c>
    </row>
    <row r="675" spans="20:28" ht="13">
      <c r="T675" s="49" t="str">
        <f ca="1">IFERROR(__xludf.DUMMYFUNCTION("""COMPUTED_VALUE"""),"Pro-Data LGI")</f>
        <v>Pro-Data LGI</v>
      </c>
      <c r="U675" s="49">
        <f ca="1">COUNTIF('Awesome People List-Master'!D:D,T675)</f>
        <v>1</v>
      </c>
      <c r="X675" s="333" t="s">
        <v>2710</v>
      </c>
      <c r="Y675" s="334">
        <v>1</v>
      </c>
      <c r="AB675" s="169">
        <f>ROUND('Awesome People List-Master'!A667,0)</f>
        <v>43940</v>
      </c>
    </row>
    <row r="676" spans="20:28" ht="13">
      <c r="T676" s="49" t="str">
        <f ca="1">IFERROR(__xludf.DUMMYFUNCTION("""COMPUTED_VALUE"""),"SEEK Asia")</f>
        <v>SEEK Asia</v>
      </c>
      <c r="U676" s="49">
        <f ca="1">COUNTIF('Awesome People List-Master'!D:D,T676)</f>
        <v>1</v>
      </c>
      <c r="X676" s="333" t="s">
        <v>1163</v>
      </c>
      <c r="Y676" s="334">
        <v>1</v>
      </c>
      <c r="AB676" s="169">
        <f>ROUND('Awesome People List-Master'!A668,0)</f>
        <v>43940</v>
      </c>
    </row>
    <row r="677" spans="20:28" ht="13">
      <c r="T677" s="49" t="str">
        <f ca="1">IFERROR(__xludf.DUMMYFUNCTION("""COMPUTED_VALUE"""),"Marriott International - The Westin Jakarta")</f>
        <v>Marriott International - The Westin Jakarta</v>
      </c>
      <c r="U677" s="49">
        <f ca="1">COUNTIF('Awesome People List-Master'!D:D,T677)</f>
        <v>1</v>
      </c>
      <c r="X677" s="333" t="s">
        <v>2764</v>
      </c>
      <c r="Y677" s="334">
        <v>1</v>
      </c>
      <c r="AB677" s="169">
        <f>ROUND('Awesome People List-Master'!A669,0)</f>
        <v>43940</v>
      </c>
    </row>
    <row r="678" spans="20:28" ht="13">
      <c r="T678" s="49" t="str">
        <f ca="1">IFERROR(__xludf.DUMMYFUNCTION("""COMPUTED_VALUE"""),"Triptease")</f>
        <v>Triptease</v>
      </c>
      <c r="U678" s="49">
        <f ca="1">COUNTIF('Awesome People List-Master'!D:D,T678)</f>
        <v>1</v>
      </c>
      <c r="X678" s="333" t="s">
        <v>1172</v>
      </c>
      <c r="Y678" s="334">
        <v>1</v>
      </c>
      <c r="AB678" s="169">
        <f>ROUND('Awesome People List-Master'!A670,0)</f>
        <v>43940</v>
      </c>
    </row>
    <row r="679" spans="20:28" ht="13">
      <c r="T679" s="49" t="str">
        <f ca="1">IFERROR(__xludf.DUMMYFUNCTION("""COMPUTED_VALUE"""),"ipaymy")</f>
        <v>ipaymy</v>
      </c>
      <c r="U679" s="49">
        <f ca="1">COUNTIF('Awesome People List-Master'!D:D,T679)</f>
        <v>1</v>
      </c>
      <c r="X679" s="333" t="s">
        <v>2816</v>
      </c>
      <c r="Y679" s="334">
        <v>1</v>
      </c>
      <c r="AB679" s="169" t="e">
        <f>ROUND(#REF!,0)</f>
        <v>#REF!</v>
      </c>
    </row>
    <row r="680" spans="20:28" ht="13">
      <c r="T680" s="49" t="str">
        <f ca="1">IFERROR(__xludf.DUMMYFUNCTION("""COMPUTED_VALUE"""),"DancindMind (Surge'19, Sequoia Capital)")</f>
        <v>DancindMind (Surge'19, Sequoia Capital)</v>
      </c>
      <c r="U680" s="49">
        <f ca="1">COUNTIF('Awesome People List-Master'!D:D,T680)</f>
        <v>1</v>
      </c>
      <c r="X680" s="333" t="s">
        <v>1182</v>
      </c>
      <c r="Y680" s="334">
        <v>1</v>
      </c>
      <c r="AB680" s="169">
        <f>ROUND('Awesome People List-Master'!A671,0)</f>
        <v>43941</v>
      </c>
    </row>
    <row r="681" spans="20:28" ht="13">
      <c r="T681" s="49" t="str">
        <f ca="1">IFERROR(__xludf.DUMMYFUNCTION("""COMPUTED_VALUE"""),"Shangri-La Group Hotels &amp; Resorts ")</f>
        <v xml:space="preserve">Shangri-La Group Hotels &amp; Resorts </v>
      </c>
      <c r="U681" s="49">
        <f ca="1">COUNTIF('Awesome People List-Master'!D:D,T681)</f>
        <v>1</v>
      </c>
      <c r="X681" s="333" t="s">
        <v>2867</v>
      </c>
      <c r="Y681" s="334">
        <v>1</v>
      </c>
      <c r="AB681" s="169">
        <f>ROUND('Awesome People List-Master'!A672,0)</f>
        <v>43941</v>
      </c>
    </row>
    <row r="682" spans="20:28" ht="13">
      <c r="T682" s="49" t="str">
        <f ca="1">IFERROR(__xludf.DUMMYFUNCTION("""COMPUTED_VALUE"""),"Hitachi Consulting")</f>
        <v>Hitachi Consulting</v>
      </c>
      <c r="U682" s="49">
        <f ca="1">COUNTIF('Awesome People List-Master'!D:D,T682)</f>
        <v>1</v>
      </c>
      <c r="X682" s="333" t="s">
        <v>1191</v>
      </c>
      <c r="Y682" s="334">
        <v>1</v>
      </c>
      <c r="AB682" s="169">
        <f>ROUND('Awesome People List-Master'!A673,0)</f>
        <v>43941</v>
      </c>
    </row>
    <row r="683" spans="20:28" ht="13">
      <c r="T683" s="49" t="str">
        <f ca="1">IFERROR(__xludf.DUMMYFUNCTION("""COMPUTED_VALUE"""),"VMw")</f>
        <v>VMw</v>
      </c>
      <c r="U683" s="49">
        <f ca="1">COUNTIF('Awesome People List-Master'!D:D,T683)</f>
        <v>1</v>
      </c>
      <c r="X683" s="333" t="s">
        <v>2902</v>
      </c>
      <c r="Y683" s="334">
        <v>1</v>
      </c>
      <c r="AB683" s="169">
        <f>ROUND('Awesome People List-Master'!A674,0)</f>
        <v>43941</v>
      </c>
    </row>
    <row r="684" spans="20:28" ht="13">
      <c r="T684" s="49" t="str">
        <f ca="1">IFERROR(__xludf.DUMMYFUNCTION("""COMPUTED_VALUE"""),"MetroGuild")</f>
        <v>MetroGuild</v>
      </c>
      <c r="U684" s="49">
        <f ca="1">COUNTIF('Awesome People List-Master'!D:D,T684)</f>
        <v>1</v>
      </c>
      <c r="X684" s="333" t="s">
        <v>1197</v>
      </c>
      <c r="Y684" s="334">
        <v>1</v>
      </c>
      <c r="AB684" s="169">
        <f>ROUND('Awesome People List-Master'!A675,0)</f>
        <v>43941</v>
      </c>
    </row>
    <row r="685" spans="20:28" ht="13">
      <c r="T685" s="49" t="str">
        <f ca="1">IFERROR(__xludf.DUMMYFUNCTION("""COMPUTED_VALUE"""),"Leisure Pass Group")</f>
        <v>Leisure Pass Group</v>
      </c>
      <c r="U685" s="49">
        <f ca="1">COUNTIF('Awesome People List-Master'!D:D,T685)</f>
        <v>1</v>
      </c>
      <c r="X685" s="333" t="s">
        <v>612</v>
      </c>
      <c r="Y685" s="334">
        <v>1</v>
      </c>
      <c r="AB685" s="169" t="e">
        <f>ROUND(#REF!,0)</f>
        <v>#REF!</v>
      </c>
    </row>
    <row r="686" spans="20:28" ht="13">
      <c r="T686" s="49" t="str">
        <f ca="1">IFERROR(__xludf.DUMMYFUNCTION("""COMPUTED_VALUE"""),"Pi techniques pvt ltd")</f>
        <v>Pi techniques pvt ltd</v>
      </c>
      <c r="U686" s="49">
        <f ca="1">COUNTIF('Awesome People List-Master'!D:D,T686)</f>
        <v>1</v>
      </c>
      <c r="X686" s="333" t="s">
        <v>294</v>
      </c>
      <c r="Y686" s="334">
        <v>1</v>
      </c>
      <c r="AB686" s="169">
        <f>ROUND('Awesome People List-Master'!A676,0)</f>
        <v>43941</v>
      </c>
    </row>
    <row r="687" spans="20:28" ht="13">
      <c r="T687" s="49" t="str">
        <f ca="1">IFERROR(__xludf.DUMMYFUNCTION("""COMPUTED_VALUE"""),"eBay")</f>
        <v>eBay</v>
      </c>
      <c r="U687" s="49">
        <f ca="1">COUNTIF('Awesome People List-Master'!D:D,T687)</f>
        <v>1</v>
      </c>
      <c r="X687" s="333" t="s">
        <v>2973</v>
      </c>
      <c r="Y687" s="334">
        <v>1</v>
      </c>
      <c r="AB687" s="169">
        <f>ROUND('Awesome People List-Master'!A677,0)</f>
        <v>43941</v>
      </c>
    </row>
    <row r="688" spans="20:28" ht="13">
      <c r="T688" s="56" t="str">
        <f ca="1">IFERROR(__xludf.DUMMYFUNCTION("""COMPUTED_VALUE"""),"Tiket.com")</f>
        <v>Tiket.com</v>
      </c>
      <c r="U688" s="49">
        <f ca="1">COUNTIF('Awesome People List-Master'!D:D,T688)</f>
        <v>1</v>
      </c>
      <c r="X688" s="333" t="s">
        <v>1218</v>
      </c>
      <c r="Y688" s="334">
        <v>1</v>
      </c>
      <c r="AB688" s="169">
        <f>ROUND('Awesome People List-Master'!A678,0)</f>
        <v>43941</v>
      </c>
    </row>
    <row r="689" spans="20:28" ht="13">
      <c r="T689" s="49" t="str">
        <f ca="1">IFERROR(__xludf.DUMMYFUNCTION("""COMPUTED_VALUE"""),"Google")</f>
        <v>Google</v>
      </c>
      <c r="U689" s="49">
        <f ca="1">COUNTIF('Awesome People List-Master'!D:D,T689)</f>
        <v>1</v>
      </c>
      <c r="X689" s="333" t="s">
        <v>3018</v>
      </c>
      <c r="Y689" s="334">
        <v>1</v>
      </c>
      <c r="AB689" s="169">
        <f>ROUND('Awesome People List-Master'!A679,0)</f>
        <v>43941</v>
      </c>
    </row>
    <row r="690" spans="20:28" ht="13">
      <c r="T690" s="49" t="str">
        <f ca="1">IFERROR(__xludf.DUMMYFUNCTION("""COMPUTED_VALUE"""),"PT Akulaku Silvrr Indonesia")</f>
        <v>PT Akulaku Silvrr Indonesia</v>
      </c>
      <c r="U690" s="49">
        <f ca="1">COUNTIF('Awesome People List-Master'!D:D,T690)</f>
        <v>1</v>
      </c>
      <c r="X690" s="333" t="s">
        <v>308</v>
      </c>
      <c r="Y690" s="334">
        <v>1</v>
      </c>
      <c r="AB690" s="169">
        <f>ROUND('Awesome People List-Master'!A680,0)</f>
        <v>43941</v>
      </c>
    </row>
    <row r="691" spans="20:28" ht="13">
      <c r="T691" s="49" t="str">
        <f ca="1">IFERROR(__xludf.DUMMYFUNCTION("""COMPUTED_VALUE"""),"Rolltek engineering works llc")</f>
        <v>Rolltek engineering works llc</v>
      </c>
      <c r="U691" s="49">
        <f ca="1">COUNTIF('Awesome People List-Master'!D:D,T691)</f>
        <v>1</v>
      </c>
      <c r="X691" s="333" t="s">
        <v>3051</v>
      </c>
      <c r="Y691" s="334">
        <v>1</v>
      </c>
      <c r="AB691" s="169">
        <f>ROUND('Awesome People List-Master'!A681,0)</f>
        <v>43941</v>
      </c>
    </row>
    <row r="692" spans="20:28" ht="13">
      <c r="T692" s="49" t="str">
        <f ca="1">IFERROR(__xludf.DUMMYFUNCTION("""COMPUTED_VALUE"""),"Artefact ")</f>
        <v xml:space="preserve">Artefact </v>
      </c>
      <c r="U692" s="49">
        <f ca="1">COUNTIF('Awesome People List-Master'!D:D,T692)</f>
        <v>1</v>
      </c>
      <c r="X692" s="333" t="s">
        <v>318</v>
      </c>
      <c r="Y692" s="334">
        <v>1</v>
      </c>
      <c r="AB692" s="169">
        <f>ROUND('Awesome People List-Master'!A682,0)</f>
        <v>43941</v>
      </c>
    </row>
    <row r="693" spans="20:28" ht="13">
      <c r="T693" s="49" t="str">
        <f ca="1">IFERROR(__xludf.DUMMYFUNCTION("""COMPUTED_VALUE"""),"Duff &amp; Phelps India ")</f>
        <v xml:space="preserve">Duff &amp; Phelps India </v>
      </c>
      <c r="U693" s="49">
        <f ca="1">COUNTIF('Awesome People List-Master'!D:D,T693)</f>
        <v>1</v>
      </c>
      <c r="X693" s="333" t="s">
        <v>3095</v>
      </c>
      <c r="Y693" s="334">
        <v>1</v>
      </c>
      <c r="AB693" s="169">
        <f>ROUND('Awesome People List-Master'!A683,0)</f>
        <v>43941</v>
      </c>
    </row>
    <row r="694" spans="20:28" ht="13">
      <c r="T694" s="49" t="str">
        <f ca="1">IFERROR(__xludf.DUMMYFUNCTION("""COMPUTED_VALUE"""),"LotusFlare")</f>
        <v>LotusFlare</v>
      </c>
      <c r="U694" s="49">
        <f ca="1">COUNTIF('Awesome People List-Master'!D:D,T694)</f>
        <v>1</v>
      </c>
      <c r="X694" s="333" t="s">
        <v>329</v>
      </c>
      <c r="Y694" s="334">
        <v>1</v>
      </c>
      <c r="AB694" s="169">
        <f>ROUND('Awesome People List-Master'!A684,0)</f>
        <v>43941</v>
      </c>
    </row>
    <row r="695" spans="20:28" ht="13">
      <c r="T695" s="49" t="str">
        <f ca="1">IFERROR(__xludf.DUMMYFUNCTION("""COMPUTED_VALUE"""),"Lalamove ")</f>
        <v xml:space="preserve">Lalamove </v>
      </c>
      <c r="U695" s="49">
        <f ca="1">COUNTIF('Awesome People List-Master'!D:D,T695)</f>
        <v>1</v>
      </c>
      <c r="X695" s="333" t="s">
        <v>175</v>
      </c>
      <c r="Y695" s="334">
        <v>1</v>
      </c>
      <c r="AB695" s="169">
        <f>ROUND('Awesome People List-Master'!A685,0)</f>
        <v>43941</v>
      </c>
    </row>
    <row r="696" spans="20:28" ht="13">
      <c r="T696" s="49" t="str">
        <f ca="1">IFERROR(__xludf.DUMMYFUNCTION("""COMPUTED_VALUE"""),"Traveloka Phils. Inc.")</f>
        <v>Traveloka Phils. Inc.</v>
      </c>
      <c r="U696" s="49">
        <f ca="1">COUNTIF('Awesome People List-Master'!D:D,T696)</f>
        <v>1</v>
      </c>
      <c r="X696" s="333" t="s">
        <v>1268</v>
      </c>
      <c r="Y696" s="334">
        <v>1</v>
      </c>
      <c r="AB696" s="169">
        <f>ROUND('Awesome People List-Master'!A686,0)</f>
        <v>43941</v>
      </c>
    </row>
    <row r="697" spans="20:28" ht="13">
      <c r="T697" s="49" t="str">
        <f ca="1">IFERROR(__xludf.DUMMYFUNCTION("""COMPUTED_VALUE"""),"C27")</f>
        <v>C27</v>
      </c>
      <c r="U697" s="49">
        <f ca="1">COUNTIF('Awesome People List-Master'!D:D,T697)</f>
        <v>1</v>
      </c>
      <c r="X697" s="333" t="s">
        <v>645</v>
      </c>
      <c r="Y697" s="334">
        <v>1</v>
      </c>
      <c r="AB697" s="169">
        <f>ROUND('Awesome People List-Master'!A687,0)</f>
        <v>43941</v>
      </c>
    </row>
    <row r="698" spans="20:28" ht="13">
      <c r="T698" s="49" t="str">
        <f ca="1">IFERROR(__xludf.DUMMYFUNCTION("""COMPUTED_VALUE"""),"Traveloka Philippines Inc.")</f>
        <v>Traveloka Philippines Inc.</v>
      </c>
      <c r="U698" s="49">
        <f ca="1">COUNTIF('Awesome People List-Master'!D:D,T698)</f>
        <v>1</v>
      </c>
      <c r="X698" s="333" t="s">
        <v>1275</v>
      </c>
      <c r="Y698" s="334">
        <v>1</v>
      </c>
      <c r="AB698" s="169">
        <f>ROUND('Awesome People List-Master'!A688,0)</f>
        <v>43941</v>
      </c>
    </row>
    <row r="699" spans="20:28" ht="13">
      <c r="T699" s="49" t="str">
        <f ca="1">IFERROR(__xludf.DUMMYFUNCTION("""COMPUTED_VALUE"""),"MicroSourcing")</f>
        <v>MicroSourcing</v>
      </c>
      <c r="U699" s="49">
        <f ca="1">COUNTIF('Awesome People List-Master'!D:D,T699)</f>
        <v>1</v>
      </c>
      <c r="X699" s="333" t="s">
        <v>1944</v>
      </c>
      <c r="Y699" s="334">
        <v>1</v>
      </c>
      <c r="AB699" s="169">
        <f>ROUND('Awesome People List-Master'!A689,0)</f>
        <v>43941</v>
      </c>
    </row>
    <row r="700" spans="20:28" ht="13">
      <c r="T700" s="49" t="str">
        <f ca="1">IFERROR(__xludf.DUMMYFUNCTION("""COMPUTED_VALUE"""),"Lintas Media Danawa")</f>
        <v>Lintas Media Danawa</v>
      </c>
      <c r="U700" s="49">
        <f ca="1">COUNTIF('Awesome People List-Master'!D:D,T700)</f>
        <v>1</v>
      </c>
      <c r="X700" s="333" t="s">
        <v>1289</v>
      </c>
      <c r="Y700" s="334">
        <v>1</v>
      </c>
      <c r="AB700" s="169">
        <f>ROUND('Awesome People List-Master'!A690,0)</f>
        <v>43942</v>
      </c>
    </row>
    <row r="701" spans="20:28" ht="13">
      <c r="T701" s="49" t="str">
        <f ca="1">IFERROR(__xludf.DUMMYFUNCTION("""COMPUTED_VALUE"""),"Blowfish Digital")</f>
        <v>Blowfish Digital</v>
      </c>
      <c r="U701" s="49">
        <f ca="1">COUNTIF('Awesome People List-Master'!D:D,T701)</f>
        <v>1</v>
      </c>
      <c r="X701" s="333" t="s">
        <v>1973</v>
      </c>
      <c r="Y701" s="334">
        <v>1</v>
      </c>
      <c r="AB701" s="169">
        <f>ROUND('Awesome People List-Master'!A691,0)</f>
        <v>43942</v>
      </c>
    </row>
    <row r="702" spans="20:28" ht="13">
      <c r="T702" s="49" t="str">
        <f ca="1">IFERROR(__xludf.DUMMYFUNCTION("""COMPUTED_VALUE"""),"Red Bull")</f>
        <v>Red Bull</v>
      </c>
      <c r="U702" s="49">
        <f ca="1">COUNTIF('Awesome People List-Master'!D:D,T702)</f>
        <v>1</v>
      </c>
      <c r="X702" s="333" t="s">
        <v>1309</v>
      </c>
      <c r="Y702" s="334">
        <v>1</v>
      </c>
      <c r="AB702" s="169">
        <f>ROUND('Awesome People List-Master'!A692,0)</f>
        <v>43942</v>
      </c>
    </row>
    <row r="703" spans="20:28" ht="13">
      <c r="T703" s="49" t="str">
        <f ca="1">IFERROR(__xludf.DUMMYFUNCTION("""COMPUTED_VALUE"""),"Tripadvisor")</f>
        <v>Tripadvisor</v>
      </c>
      <c r="U703" s="49">
        <f ca="1">COUNTIF('Awesome People List-Master'!D:D,T703)</f>
        <v>1</v>
      </c>
      <c r="X703" s="333" t="s">
        <v>2022</v>
      </c>
      <c r="Y703" s="334">
        <v>1</v>
      </c>
      <c r="AB703" s="169">
        <f>ROUND('Awesome People List-Master'!A693,0)</f>
        <v>43942</v>
      </c>
    </row>
    <row r="704" spans="20:28" ht="13">
      <c r="T704" s="49" t="str">
        <f ca="1">IFERROR(__xludf.DUMMYFUNCTION("""COMPUTED_VALUE"""),"Dhwani Rural Information Systems Pvt. Ltd.")</f>
        <v>Dhwani Rural Information Systems Pvt. Ltd.</v>
      </c>
      <c r="U704" s="49">
        <f ca="1">COUNTIF('Awesome People List-Master'!D:D,T704)</f>
        <v>1</v>
      </c>
      <c r="X704" s="333" t="s">
        <v>1330</v>
      </c>
      <c r="Y704" s="334">
        <v>1</v>
      </c>
      <c r="AB704" s="169">
        <f>ROUND('Awesome People List-Master'!A694,0)</f>
        <v>43942</v>
      </c>
    </row>
    <row r="705" spans="20:28" ht="13">
      <c r="T705" s="49" t="str">
        <f ca="1">IFERROR(__xludf.DUMMYFUNCTION("""COMPUTED_VALUE"""),"Kalibrr")</f>
        <v>Kalibrr</v>
      </c>
      <c r="U705" s="49">
        <f ca="1">COUNTIF('Awesome People List-Master'!D:D,T705)</f>
        <v>3</v>
      </c>
      <c r="X705" s="333" t="s">
        <v>2043</v>
      </c>
      <c r="Y705" s="334">
        <v>1</v>
      </c>
      <c r="AB705" s="169">
        <f>ROUND('Awesome People List-Master'!A695,0)</f>
        <v>43942</v>
      </c>
    </row>
    <row r="706" spans="20:28" ht="13">
      <c r="T706" s="56" t="str">
        <f ca="1">IFERROR(__xludf.DUMMYFUNCTION("""COMPUTED_VALUE"""),"Neuonwoods.com")</f>
        <v>Neuonwoods.com</v>
      </c>
      <c r="U706" s="49">
        <f ca="1">COUNTIF('Awesome People List-Master'!D:D,T706)</f>
        <v>1</v>
      </c>
      <c r="X706" s="333" t="s">
        <v>1341</v>
      </c>
      <c r="Y706" s="334">
        <v>1</v>
      </c>
      <c r="AB706" s="169">
        <f>ROUND('Awesome People List-Master'!A696,0)</f>
        <v>43942</v>
      </c>
    </row>
    <row r="707" spans="20:28" ht="13">
      <c r="T707" s="49" t="str">
        <f ca="1">IFERROR(__xludf.DUMMYFUNCTION("""COMPUTED_VALUE"""),"Anyvision")</f>
        <v>Anyvision</v>
      </c>
      <c r="U707" s="49">
        <f ca="1">COUNTIF('Awesome People List-Master'!D:D,T707)</f>
        <v>1</v>
      </c>
      <c r="X707" s="333" t="s">
        <v>2061</v>
      </c>
      <c r="Y707" s="334">
        <v>1</v>
      </c>
      <c r="AB707" s="169">
        <f>ROUND('Awesome People List-Master'!A697,0)</f>
        <v>43942</v>
      </c>
    </row>
    <row r="708" spans="20:28" ht="13">
      <c r="T708" s="49" t="str">
        <f ca="1">IFERROR(__xludf.DUMMYFUNCTION("""COMPUTED_VALUE"""),"Aspire")</f>
        <v>Aspire</v>
      </c>
      <c r="U708" s="49">
        <f ca="1">COUNTIF('Awesome People List-Master'!D:D,T708)</f>
        <v>1</v>
      </c>
      <c r="X708" s="333" t="s">
        <v>1347</v>
      </c>
      <c r="Y708" s="334">
        <v>1</v>
      </c>
      <c r="AB708" s="169">
        <f>ROUND('Awesome People List-Master'!A698,0)</f>
        <v>43942</v>
      </c>
    </row>
    <row r="709" spans="20:28" ht="13">
      <c r="T709" s="49" t="str">
        <f ca="1">IFERROR(__xludf.DUMMYFUNCTION("""COMPUTED_VALUE"""),"Lazy Eight Design")</f>
        <v>Lazy Eight Design</v>
      </c>
      <c r="U709" s="49">
        <f ca="1">COUNTIF('Awesome People List-Master'!D:D,T709)</f>
        <v>1</v>
      </c>
      <c r="X709" s="333" t="s">
        <v>159</v>
      </c>
      <c r="Y709" s="334">
        <v>1</v>
      </c>
      <c r="AB709" s="169">
        <f>ROUND('Awesome People List-Master'!A699,0)</f>
        <v>43942</v>
      </c>
    </row>
    <row r="710" spans="20:28" ht="13">
      <c r="T710" s="49" t="str">
        <f ca="1">IFERROR(__xludf.DUMMYFUNCTION("""COMPUTED_VALUE"""),"Mars &amp; Co.")</f>
        <v>Mars &amp; Co.</v>
      </c>
      <c r="U710" s="49">
        <f ca="1">COUNTIF('Awesome People List-Master'!D:D,T710)</f>
        <v>1</v>
      </c>
      <c r="X710" s="333" t="s">
        <v>1354</v>
      </c>
      <c r="Y710" s="334">
        <v>1</v>
      </c>
      <c r="AB710" s="169">
        <f>ROUND('Awesome People List-Master'!A700,0)</f>
        <v>43942</v>
      </c>
    </row>
    <row r="711" spans="20:28" ht="13">
      <c r="T711" s="49" t="str">
        <f ca="1">IFERROR(__xludf.DUMMYFUNCTION("""COMPUTED_VALUE"""),"Terminal 1 Limited")</f>
        <v>Terminal 1 Limited</v>
      </c>
      <c r="U711" s="49">
        <f ca="1">COUNTIF('Awesome People List-Master'!D:D,T711)</f>
        <v>1</v>
      </c>
      <c r="X711" s="333" t="s">
        <v>2096</v>
      </c>
      <c r="Y711" s="334">
        <v>1</v>
      </c>
      <c r="AB711" s="169">
        <f>ROUND('Awesome People List-Master'!A701,0)</f>
        <v>43942</v>
      </c>
    </row>
    <row r="712" spans="20:28" ht="13">
      <c r="T712" s="49" t="str">
        <f ca="1">IFERROR(__xludf.DUMMYFUNCTION("""COMPUTED_VALUE"""),"Ola Cabs")</f>
        <v>Ola Cabs</v>
      </c>
      <c r="U712" s="49">
        <f ca="1">COUNTIF('Awesome People List-Master'!D:D,T712)</f>
        <v>1</v>
      </c>
      <c r="X712" s="333" t="s">
        <v>1366</v>
      </c>
      <c r="Y712" s="334">
        <v>1</v>
      </c>
      <c r="AB712" s="169">
        <f>ROUND('Awesome People List-Master'!A702,0)</f>
        <v>43942</v>
      </c>
    </row>
    <row r="713" spans="20:28" ht="13">
      <c r="T713" s="49" t="str">
        <f ca="1">IFERROR(__xludf.DUMMYFUNCTION("""COMPUTED_VALUE"""),"Infosys Limited")</f>
        <v>Infosys Limited</v>
      </c>
      <c r="U713" s="49">
        <f ca="1">COUNTIF('Awesome People List-Master'!D:D,T713)</f>
        <v>1</v>
      </c>
      <c r="X713" s="333" t="s">
        <v>2108</v>
      </c>
      <c r="Y713" s="334">
        <v>1</v>
      </c>
      <c r="AB713" s="169">
        <f>ROUND('Awesome People List-Master'!A703,0)</f>
        <v>43942</v>
      </c>
    </row>
    <row r="714" spans="20:28" ht="13">
      <c r="T714" s="49" t="str">
        <f ca="1">IFERROR(__xludf.DUMMYFUNCTION("""COMPUTED_VALUE"""),"Eniac")</f>
        <v>Eniac</v>
      </c>
      <c r="U714" s="49">
        <f ca="1">COUNTIF('Awesome People List-Master'!D:D,T714)</f>
        <v>1</v>
      </c>
      <c r="X714" s="333" t="s">
        <v>1372</v>
      </c>
      <c r="Y714" s="334">
        <v>1</v>
      </c>
      <c r="AB714" s="169">
        <f>ROUND('Awesome People List-Master'!A704,0)</f>
        <v>43942</v>
      </c>
    </row>
    <row r="715" spans="20:28" ht="13">
      <c r="T715" s="49" t="str">
        <f ca="1">IFERROR(__xludf.DUMMYFUNCTION("""COMPUTED_VALUE"""),"iVideoSmart Pte Ltd")</f>
        <v>iVideoSmart Pte Ltd</v>
      </c>
      <c r="U715" s="49">
        <f ca="1">COUNTIF('Awesome People List-Master'!D:D,T715)</f>
        <v>1</v>
      </c>
      <c r="X715" s="333" t="s">
        <v>2129</v>
      </c>
      <c r="Y715" s="334">
        <v>1</v>
      </c>
      <c r="AB715" s="169">
        <f>ROUND('Awesome People List-Master'!A705,0)</f>
        <v>43942</v>
      </c>
    </row>
    <row r="716" spans="20:28" ht="13">
      <c r="T716" s="49" t="str">
        <f ca="1">IFERROR(__xludf.DUMMYFUNCTION("""COMPUTED_VALUE"""),"Lendela Sdn Bhd")</f>
        <v>Lendela Sdn Bhd</v>
      </c>
      <c r="U716" s="49">
        <f ca="1">COUNTIF('Awesome People List-Master'!D:D,T716)</f>
        <v>1</v>
      </c>
      <c r="X716" s="333" t="s">
        <v>1387</v>
      </c>
      <c r="Y716" s="334">
        <v>1</v>
      </c>
      <c r="AB716" s="169">
        <f>ROUND('Awesome People List-Master'!A706,0)</f>
        <v>43942</v>
      </c>
    </row>
    <row r="717" spans="20:28" ht="13">
      <c r="T717" s="49" t="str">
        <f ca="1">IFERROR(__xludf.DUMMYFUNCTION("""COMPUTED_VALUE"""),"Ape Works Pte Ltd")</f>
        <v>Ape Works Pte Ltd</v>
      </c>
      <c r="U717" s="49">
        <f ca="1">COUNTIF('Awesome People List-Master'!D:D,T717)</f>
        <v>1</v>
      </c>
      <c r="X717" s="333" t="s">
        <v>2165</v>
      </c>
      <c r="Y717" s="334">
        <v>1</v>
      </c>
      <c r="AB717" s="169">
        <f>ROUND('Awesome People List-Master'!A707,0)</f>
        <v>43942</v>
      </c>
    </row>
    <row r="718" spans="20:28" ht="13">
      <c r="T718" s="49" t="str">
        <f ca="1">IFERROR(__xludf.DUMMYFUNCTION("""COMPUTED_VALUE"""),"Abeam Lightstream Analytics")</f>
        <v>Abeam Lightstream Analytics</v>
      </c>
      <c r="U718" s="49">
        <f ca="1">COUNTIF('Awesome People List-Master'!D:D,T718)</f>
        <v>1</v>
      </c>
      <c r="X718" s="333" t="s">
        <v>1400</v>
      </c>
      <c r="Y718" s="334">
        <v>1</v>
      </c>
      <c r="AB718" s="169">
        <f>ROUND('Awesome People List-Master'!A708,0)</f>
        <v>43942</v>
      </c>
    </row>
    <row r="719" spans="20:28" ht="13">
      <c r="T719" s="49" t="str">
        <f ca="1">IFERROR(__xludf.DUMMYFUNCTION("""COMPUTED_VALUE"""),"Samsung")</f>
        <v>Samsung</v>
      </c>
      <c r="U719" s="49">
        <f ca="1">COUNTIF('Awesome People List-Master'!D:D,T719)</f>
        <v>1</v>
      </c>
      <c r="X719" s="333" t="s">
        <v>2183</v>
      </c>
      <c r="Y719" s="334">
        <v>1</v>
      </c>
      <c r="AB719" s="169">
        <f>ROUND('Awesome People List-Master'!A709,0)</f>
        <v>43942</v>
      </c>
    </row>
    <row r="720" spans="20:28" ht="13">
      <c r="T720" s="49" t="str">
        <f ca="1">IFERROR(__xludf.DUMMYFUNCTION("""COMPUTED_VALUE"""),"HeyJobs")</f>
        <v>HeyJobs</v>
      </c>
      <c r="U720" s="49">
        <f ca="1">COUNTIF('Awesome People List-Master'!D:D,T720)</f>
        <v>1</v>
      </c>
      <c r="X720" s="333" t="s">
        <v>1415</v>
      </c>
      <c r="Y720" s="334">
        <v>1</v>
      </c>
      <c r="AB720" s="169">
        <f>ROUND('Awesome People List-Master'!A710,0)</f>
        <v>43942</v>
      </c>
    </row>
    <row r="721" spans="20:28" ht="13">
      <c r="T721" s="49" t="str">
        <f ca="1">IFERROR(__xludf.DUMMYFUNCTION("""COMPUTED_VALUE"""),"Agoda")</f>
        <v>Agoda</v>
      </c>
      <c r="U721" s="49">
        <f ca="1">COUNTIF('Awesome People List-Master'!D:D,T721)</f>
        <v>1</v>
      </c>
      <c r="X721" s="333" t="s">
        <v>2220</v>
      </c>
      <c r="Y721" s="334">
        <v>1</v>
      </c>
      <c r="AB721" s="169">
        <f>ROUND('Awesome People List-Master'!A711,0)</f>
        <v>43943</v>
      </c>
    </row>
    <row r="722" spans="20:28" ht="13">
      <c r="T722" s="49" t="str">
        <f ca="1">IFERROR(__xludf.DUMMYFUNCTION("""COMPUTED_VALUE"""),"Sharechat")</f>
        <v>Sharechat</v>
      </c>
      <c r="U722" s="49">
        <f ca="1">COUNTIF('Awesome People List-Master'!D:D,T722)</f>
        <v>1</v>
      </c>
      <c r="X722" s="333" t="s">
        <v>72</v>
      </c>
      <c r="Y722" s="334">
        <v>1</v>
      </c>
      <c r="AB722" s="169">
        <f>ROUND('Awesome People List-Master'!A712,0)</f>
        <v>43943</v>
      </c>
    </row>
    <row r="723" spans="20:28" ht="13">
      <c r="T723" s="49" t="str">
        <f ca="1">IFERROR(__xludf.DUMMYFUNCTION("""COMPUTED_VALUE"""),"Wellbe Event Management")</f>
        <v>Wellbe Event Management</v>
      </c>
      <c r="U723" s="49">
        <f ca="1">COUNTIF('Awesome People List-Master'!D:D,T723)</f>
        <v>1</v>
      </c>
      <c r="X723" s="333" t="s">
        <v>2260</v>
      </c>
      <c r="Y723" s="334">
        <v>1</v>
      </c>
      <c r="AB723" s="169">
        <f>ROUND('Awesome People List-Master'!A713,0)</f>
        <v>43943</v>
      </c>
    </row>
    <row r="724" spans="20:28" ht="13">
      <c r="T724" s="49" t="str">
        <f ca="1">IFERROR(__xludf.DUMMYFUNCTION("""COMPUTED_VALUE"""),"Techsauce Global Summit")</f>
        <v>Techsauce Global Summit</v>
      </c>
      <c r="U724" s="49">
        <f ca="1">COUNTIF('Awesome People List-Master'!D:D,T724)</f>
        <v>1</v>
      </c>
      <c r="X724" s="333" t="s">
        <v>1435</v>
      </c>
      <c r="Y724" s="334">
        <v>1</v>
      </c>
      <c r="AB724" s="169">
        <f>ROUND('Awesome People List-Master'!A714,0)</f>
        <v>43943</v>
      </c>
    </row>
    <row r="725" spans="20:28" ht="13">
      <c r="T725" s="49" t="str">
        <f ca="1">IFERROR(__xludf.DUMMYFUNCTION("""COMPUTED_VALUE"""),"PT Mitra Adiperkasa")</f>
        <v>PT Mitra Adiperkasa</v>
      </c>
      <c r="U725" s="49">
        <f ca="1">COUNTIF('Awesome People List-Master'!D:D,T725)</f>
        <v>1</v>
      </c>
      <c r="X725" s="333" t="s">
        <v>515</v>
      </c>
      <c r="Y725" s="334">
        <v>1</v>
      </c>
      <c r="AB725" s="169">
        <f>ROUND('Awesome People List-Master'!A715,0)</f>
        <v>43943</v>
      </c>
    </row>
    <row r="726" spans="20:28" ht="13">
      <c r="T726" s="49" t="str">
        <f ca="1">IFERROR(__xludf.DUMMYFUNCTION("""COMPUTED_VALUE"""),"HP ")</f>
        <v xml:space="preserve">HP </v>
      </c>
      <c r="U726" s="49">
        <f ca="1">COUNTIF('Awesome People List-Master'!D:D,T726)</f>
        <v>1</v>
      </c>
      <c r="X726" s="333" t="s">
        <v>1447</v>
      </c>
      <c r="Y726" s="334">
        <v>1</v>
      </c>
      <c r="AB726" s="169">
        <f>ROUND('Awesome People List-Master'!A716,0)</f>
        <v>43943</v>
      </c>
    </row>
    <row r="727" spans="20:28" ht="13">
      <c r="T727" s="49" t="str">
        <f ca="1">IFERROR(__xludf.DUMMYFUNCTION("""COMPUTED_VALUE"""),"IVE Group")</f>
        <v>IVE Group</v>
      </c>
      <c r="U727" s="49">
        <f ca="1">COUNTIF('Awesome People List-Master'!D:D,T727)</f>
        <v>1</v>
      </c>
      <c r="X727" s="333" t="s">
        <v>525</v>
      </c>
      <c r="Y727" s="334">
        <v>1</v>
      </c>
      <c r="AB727" s="169">
        <f>ROUND('Awesome People List-Master'!A717,0)</f>
        <v>43943</v>
      </c>
    </row>
    <row r="728" spans="20:28" ht="13">
      <c r="T728" s="49" t="str">
        <f ca="1">IFERROR(__xludf.DUMMYFUNCTION("""COMPUTED_VALUE"""),"IMD Global Services")</f>
        <v>IMD Global Services</v>
      </c>
      <c r="U728" s="49">
        <f ca="1">COUNTIF('Awesome People List-Master'!D:D,T728)</f>
        <v>2</v>
      </c>
      <c r="X728" s="333" t="s">
        <v>1463</v>
      </c>
      <c r="Y728" s="334">
        <v>1</v>
      </c>
      <c r="AB728" s="169">
        <f>ROUND('Awesome People List-Master'!A718,0)</f>
        <v>43943</v>
      </c>
    </row>
    <row r="729" spans="20:28" ht="13">
      <c r="T729" s="49" t="str">
        <f ca="1">IFERROR(__xludf.DUMMYFUNCTION("""COMPUTED_VALUE"""),"V magics business solutions")</f>
        <v>V magics business solutions</v>
      </c>
      <c r="U729" s="49">
        <f ca="1">COUNTIF('Awesome People List-Master'!D:D,T729)</f>
        <v>1</v>
      </c>
      <c r="X729" s="333" t="s">
        <v>2311</v>
      </c>
      <c r="Y729" s="334">
        <v>1</v>
      </c>
      <c r="AB729" s="169">
        <f>ROUND('Awesome People List-Master'!A719,0)</f>
        <v>43943</v>
      </c>
    </row>
    <row r="730" spans="20:28" ht="13">
      <c r="T730" s="56" t="str">
        <f ca="1">IFERROR(__xludf.DUMMYFUNCTION("""COMPUTED_VALUE"""),"referhire.com")</f>
        <v>referhire.com</v>
      </c>
      <c r="U730" s="49">
        <f ca="1">COUNTIF('Awesome People List-Master'!D:D,T730)</f>
        <v>1</v>
      </c>
      <c r="X730" s="333" t="s">
        <v>1477</v>
      </c>
      <c r="Y730" s="334">
        <v>1</v>
      </c>
      <c r="AB730" s="169">
        <f>ROUND('Awesome People List-Master'!A720,0)</f>
        <v>43943</v>
      </c>
    </row>
    <row r="731" spans="20:28" ht="13">
      <c r="T731" s="49" t="str">
        <f ca="1">IFERROR(__xludf.DUMMYFUNCTION("""COMPUTED_VALUE"""),"Texas Instruments")</f>
        <v>Texas Instruments</v>
      </c>
      <c r="U731" s="49">
        <f ca="1">COUNTIF('Awesome People List-Master'!D:D,T731)</f>
        <v>1</v>
      </c>
      <c r="X731" s="333" t="s">
        <v>1718</v>
      </c>
      <c r="Y731" s="334">
        <v>1</v>
      </c>
      <c r="AB731" s="169">
        <f>ROUND('Awesome People List-Master'!A721,0)</f>
        <v>43943</v>
      </c>
    </row>
    <row r="732" spans="20:28" ht="13">
      <c r="T732" s="49" t="str">
        <f ca="1">IFERROR(__xludf.DUMMYFUNCTION("""COMPUTED_VALUE"""),"Worldnesia (Indonesian Business Language Training Institution)")</f>
        <v>Worldnesia (Indonesian Business Language Training Institution)</v>
      </c>
      <c r="U732" s="49">
        <f ca="1">COUNTIF('Awesome People List-Master'!D:D,T732)</f>
        <v>1</v>
      </c>
      <c r="X732" s="333" t="s">
        <v>133</v>
      </c>
      <c r="Y732" s="334">
        <v>1</v>
      </c>
      <c r="AB732" s="169">
        <f>ROUND('Awesome People List-Master'!A722,0)</f>
        <v>43943</v>
      </c>
    </row>
    <row r="733" spans="20:28" ht="13">
      <c r="T733" s="49" t="str">
        <f ca="1">IFERROR(__xludf.DUMMYFUNCTION("""COMPUTED_VALUE"""),"Alorica Philippines Inc.")</f>
        <v>Alorica Philippines Inc.</v>
      </c>
      <c r="U733" s="49">
        <f ca="1">COUNTIF('Awesome People List-Master'!D:D,T733)</f>
        <v>1</v>
      </c>
      <c r="X733" s="333" t="s">
        <v>2343</v>
      </c>
      <c r="Y733" s="334">
        <v>1</v>
      </c>
      <c r="AB733" s="169">
        <f>ROUND('Awesome People List-Master'!A723,0)</f>
        <v>43943</v>
      </c>
    </row>
    <row r="734" spans="20:28" ht="13">
      <c r="T734" s="49" t="str">
        <f ca="1">IFERROR(__xludf.DUMMYFUNCTION("""COMPUTED_VALUE"""),"Traveloka Philippines")</f>
        <v>Traveloka Philippines</v>
      </c>
      <c r="U734" s="49">
        <f ca="1">COUNTIF('Awesome People List-Master'!D:D,T734)</f>
        <v>1</v>
      </c>
      <c r="X734" s="333" t="s">
        <v>355</v>
      </c>
      <c r="Y734" s="334">
        <v>1</v>
      </c>
      <c r="AB734" s="169">
        <f>ROUND('Awesome People List-Master'!A724,0)</f>
        <v>43943</v>
      </c>
    </row>
    <row r="735" spans="20:28" ht="13">
      <c r="T735" s="49" t="str">
        <f ca="1">IFERROR(__xludf.DUMMYFUNCTION("""COMPUTED_VALUE"""),"MNC Bank")</f>
        <v>MNC Bank</v>
      </c>
      <c r="U735" s="49">
        <f ca="1">COUNTIF('Awesome People List-Master'!D:D,T735)</f>
        <v>1</v>
      </c>
      <c r="X735" s="333" t="s">
        <v>2365</v>
      </c>
      <c r="Y735" s="334">
        <v>1</v>
      </c>
      <c r="AB735" s="169">
        <f>ROUND('Awesome People List-Master'!A725,0)</f>
        <v>43943</v>
      </c>
    </row>
    <row r="736" spans="20:28" ht="13">
      <c r="T736" s="49" t="str">
        <f ca="1">IFERROR(__xludf.DUMMYFUNCTION("""COMPUTED_VALUE"""),"Second company IT")</f>
        <v>Second company IT</v>
      </c>
      <c r="U736" s="49">
        <f ca="1">COUNTIF('Awesome People List-Master'!D:D,T736)</f>
        <v>1</v>
      </c>
      <c r="X736" s="333" t="s">
        <v>1505</v>
      </c>
      <c r="Y736" s="334">
        <v>1</v>
      </c>
      <c r="AB736" s="169">
        <f>ROUND('Awesome People List-Master'!A726,0)</f>
        <v>43943</v>
      </c>
    </row>
    <row r="737" spans="20:28" ht="13">
      <c r="T737" s="49" t="str">
        <f ca="1">IFERROR(__xludf.DUMMYFUNCTION("""COMPUTED_VALUE"""),"Silot")</f>
        <v>Silot</v>
      </c>
      <c r="U737" s="49">
        <f ca="1">COUNTIF('Awesome People List-Master'!D:D,T737)</f>
        <v>1</v>
      </c>
      <c r="X737" s="333" t="s">
        <v>542</v>
      </c>
      <c r="Y737" s="334">
        <v>1</v>
      </c>
      <c r="AB737" s="169">
        <f>ROUND('Awesome People List-Master'!A727,0)</f>
        <v>43943</v>
      </c>
    </row>
    <row r="738" spans="20:28" ht="13">
      <c r="T738" s="49" t="str">
        <f ca="1">IFERROR(__xludf.DUMMYFUNCTION("""COMPUTED_VALUE"""),"B2G Consulting")</f>
        <v>B2G Consulting</v>
      </c>
      <c r="U738" s="49">
        <f ca="1">COUNTIF('Awesome People List-Master'!D:D,T738)</f>
        <v>1</v>
      </c>
      <c r="X738" s="333" t="s">
        <v>1515</v>
      </c>
      <c r="Y738" s="334">
        <v>1</v>
      </c>
      <c r="AB738" s="169">
        <f>ROUND('Awesome People List-Master'!A728,0)</f>
        <v>43943</v>
      </c>
    </row>
    <row r="739" spans="20:28" ht="13">
      <c r="T739" s="49" t="str">
        <f ca="1">IFERROR(__xludf.DUMMYFUNCTION("""COMPUTED_VALUE"""),"PT Smartfren Telecom")</f>
        <v>PT Smartfren Telecom</v>
      </c>
      <c r="U739" s="49">
        <f ca="1">COUNTIF('Awesome People List-Master'!D:D,T739)</f>
        <v>1</v>
      </c>
      <c r="X739" s="333" t="s">
        <v>553</v>
      </c>
      <c r="Y739" s="334">
        <v>1</v>
      </c>
      <c r="AB739" s="169">
        <f>ROUND('Awesome People List-Master'!A729,0)</f>
        <v>43943</v>
      </c>
    </row>
    <row r="740" spans="20:28" ht="13">
      <c r="T740" s="49" t="str">
        <f ca="1">IFERROR(__xludf.DUMMYFUNCTION("""COMPUTED_VALUE"""),"PT. Mobilkamu Group Indonesia (Mobilkamu.com)")</f>
        <v>PT. Mobilkamu Group Indonesia (Mobilkamu.com)</v>
      </c>
      <c r="U740" s="49">
        <f ca="1">COUNTIF('Awesome People List-Master'!D:D,T740)</f>
        <v>1</v>
      </c>
      <c r="X740" s="333" t="s">
        <v>1525</v>
      </c>
      <c r="Y740" s="334">
        <v>1</v>
      </c>
      <c r="AB740" s="169">
        <f>ROUND('Awesome People List-Master'!A730,0)</f>
        <v>43943</v>
      </c>
    </row>
    <row r="741" spans="20:28" ht="13">
      <c r="T741" s="49" t="str">
        <f ca="1">IFERROR(__xludf.DUMMYFUNCTION("""COMPUTED_VALUE"""),"BHP BILLITON ")</f>
        <v xml:space="preserve">BHP BILLITON </v>
      </c>
      <c r="U741" s="49">
        <f ca="1">COUNTIF('Awesome People List-Master'!D:D,T741)</f>
        <v>1</v>
      </c>
      <c r="X741" s="333" t="s">
        <v>2422</v>
      </c>
      <c r="Y741" s="334">
        <v>1</v>
      </c>
      <c r="AB741" s="169">
        <f>ROUND('Awesome People List-Master'!A731,0)</f>
        <v>43943</v>
      </c>
    </row>
    <row r="742" spans="20:28" ht="13">
      <c r="T742" s="49" t="str">
        <f ca="1">IFERROR(__xludf.DUMMYFUNCTION("""COMPUTED_VALUE"""),"91springboard")</f>
        <v>91springboard</v>
      </c>
      <c r="U742" s="49">
        <f ca="1">COUNTIF('Awesome People List-Master'!D:D,T742)</f>
        <v>1</v>
      </c>
      <c r="X742" s="333" t="s">
        <v>1538</v>
      </c>
      <c r="Y742" s="334">
        <v>1</v>
      </c>
      <c r="AB742" s="169">
        <f>ROUND('Awesome People List-Master'!A732,0)</f>
        <v>43944</v>
      </c>
    </row>
    <row r="743" spans="20:28" ht="13">
      <c r="T743" s="49" t="str">
        <f ca="1">IFERROR(__xludf.DUMMYFUNCTION("""COMPUTED_VALUE"""),"PT Ezeelink Indonesia")</f>
        <v>PT Ezeelink Indonesia</v>
      </c>
      <c r="U743" s="49">
        <f ca="1">COUNTIF('Awesome People List-Master'!D:D,T743)</f>
        <v>1</v>
      </c>
      <c r="X743" s="333" t="s">
        <v>2455</v>
      </c>
      <c r="Y743" s="334">
        <v>1</v>
      </c>
      <c r="AB743" s="169">
        <f>ROUND('Awesome People List-Master'!A733,0)</f>
        <v>43944</v>
      </c>
    </row>
    <row r="744" spans="20:28" ht="13">
      <c r="T744" s="49" t="str">
        <f ca="1">IFERROR(__xludf.DUMMYFUNCTION("""COMPUTED_VALUE"""),"Vrbo (Expedia Group)")</f>
        <v>Vrbo (Expedia Group)</v>
      </c>
      <c r="U744" s="49">
        <f ca="1">COUNTIF('Awesome People List-Master'!D:D,T744)</f>
        <v>1</v>
      </c>
      <c r="X744" s="333" t="s">
        <v>1546</v>
      </c>
      <c r="Y744" s="334">
        <v>1</v>
      </c>
      <c r="AB744" s="169">
        <f>ROUND('Awesome People List-Master'!A734,0)</f>
        <v>43944</v>
      </c>
    </row>
    <row r="745" spans="20:28" ht="13">
      <c r="T745" s="49" t="str">
        <f ca="1">IFERROR(__xludf.DUMMYFUNCTION("""COMPUTED_VALUE"""),"EMURGO")</f>
        <v>EMURGO</v>
      </c>
      <c r="U745" s="49">
        <f ca="1">COUNTIF('Awesome People List-Master'!D:D,T745)</f>
        <v>1</v>
      </c>
      <c r="X745" s="333" t="s">
        <v>2475</v>
      </c>
      <c r="Y745" s="334">
        <v>1</v>
      </c>
      <c r="AB745" s="169">
        <f>ROUND('Awesome People List-Master'!A735,0)</f>
        <v>43944</v>
      </c>
    </row>
    <row r="746" spans="20:28" ht="13">
      <c r="T746" s="49" t="str">
        <f ca="1">IFERROR(__xludf.DUMMYFUNCTION("""COMPUTED_VALUE"""),"Big Bad Wolf Book Sale")</f>
        <v>Big Bad Wolf Book Sale</v>
      </c>
      <c r="U746" s="49">
        <f ca="1">COUNTIF('Awesome People List-Master'!D:D,T746)</f>
        <v>1</v>
      </c>
      <c r="X746" s="333" t="s">
        <v>1555</v>
      </c>
      <c r="Y746" s="334">
        <v>1</v>
      </c>
      <c r="AB746" s="169">
        <f>ROUND('Awesome People List-Master'!A736,0)</f>
        <v>43944</v>
      </c>
    </row>
    <row r="747" spans="20:28" ht="13">
      <c r="T747" s="49" t="str">
        <f ca="1">IFERROR(__xludf.DUMMYFUNCTION("""COMPUTED_VALUE"""),"Havas Indonesia(advertising Agency)")</f>
        <v>Havas Indonesia(advertising Agency)</v>
      </c>
      <c r="U747" s="49">
        <f ca="1">COUNTIF('Awesome People List-Master'!D:D,T747)</f>
        <v>1</v>
      </c>
      <c r="X747" s="333" t="s">
        <v>561</v>
      </c>
      <c r="Y747" s="334">
        <v>1</v>
      </c>
      <c r="AB747" s="169">
        <f>ROUND('Awesome People List-Master'!A737,0)</f>
        <v>43944</v>
      </c>
    </row>
    <row r="748" spans="20:28" ht="13">
      <c r="T748" s="49" t="str">
        <f ca="1">IFERROR(__xludf.DUMMYFUNCTION("""COMPUTED_VALUE"""),"E-Technology Centre")</f>
        <v>E-Technology Centre</v>
      </c>
      <c r="U748" s="49">
        <f ca="1">COUNTIF('Awesome People List-Master'!D:D,T748)</f>
        <v>1</v>
      </c>
      <c r="X748" s="333" t="s">
        <v>370</v>
      </c>
      <c r="Y748" s="334">
        <v>1</v>
      </c>
      <c r="AB748" s="169">
        <f>ROUND('Awesome People List-Master'!A738,0)</f>
        <v>43944</v>
      </c>
    </row>
    <row r="749" spans="20:28" ht="13">
      <c r="T749" s="49" t="str">
        <f ca="1">IFERROR(__xludf.DUMMYFUNCTION("""COMPUTED_VALUE"""),"Nuance communications")</f>
        <v>Nuance communications</v>
      </c>
      <c r="U749" s="49">
        <f ca="1">COUNTIF('Awesome People List-Master'!D:D,T749)</f>
        <v>1</v>
      </c>
      <c r="X749" s="333" t="s">
        <v>2532</v>
      </c>
      <c r="Y749" s="334">
        <v>1</v>
      </c>
      <c r="AB749" s="169">
        <f>ROUND('Awesome People List-Master'!A739,0)</f>
        <v>43944</v>
      </c>
    </row>
    <row r="750" spans="20:28" ht="13">
      <c r="T750" s="49" t="str">
        <f ca="1">IFERROR(__xludf.DUMMYFUNCTION("""COMPUTED_VALUE"""),"Quilt AI")</f>
        <v>Quilt AI</v>
      </c>
      <c r="U750" s="49">
        <f ca="1">COUNTIF('Awesome People List-Master'!D:D,T750)</f>
        <v>1</v>
      </c>
      <c r="X750" s="333" t="s">
        <v>381</v>
      </c>
      <c r="Y750" s="334">
        <v>1</v>
      </c>
      <c r="AB750" s="169">
        <f>ROUND('Awesome People List-Master'!A740,0)</f>
        <v>43944</v>
      </c>
    </row>
    <row r="751" spans="20:28" ht="13">
      <c r="T751" s="49" t="str">
        <f ca="1">IFERROR(__xludf.DUMMYFUNCTION("""COMPUTED_VALUE"""),"LenddoEFL")</f>
        <v>LenddoEFL</v>
      </c>
      <c r="U751" s="49">
        <f ca="1">COUNTIF('Awesome People List-Master'!D:D,T751)</f>
        <v>1</v>
      </c>
      <c r="X751" s="333" t="s">
        <v>2549</v>
      </c>
      <c r="Y751" s="334">
        <v>1</v>
      </c>
      <c r="AB751" s="169">
        <f>ROUND('Awesome People List-Master'!A741,0)</f>
        <v>43944</v>
      </c>
    </row>
    <row r="752" spans="20:28" ht="13">
      <c r="T752" s="49" t="str">
        <f ca="1">IFERROR(__xludf.DUMMYFUNCTION("""COMPUTED_VALUE"""),"Sports Industry")</f>
        <v>Sports Industry</v>
      </c>
      <c r="U752" s="49">
        <f ca="1">COUNTIF('Awesome People List-Master'!D:D,T752)</f>
        <v>1</v>
      </c>
      <c r="X752" s="333" t="s">
        <v>1584</v>
      </c>
      <c r="Y752" s="334">
        <v>1</v>
      </c>
      <c r="AB752" s="169">
        <f>ROUND('Awesome People List-Master'!A742,0)</f>
        <v>43944</v>
      </c>
    </row>
    <row r="753" spans="20:28" ht="13">
      <c r="T753" s="49" t="str">
        <f ca="1">IFERROR(__xludf.DUMMYFUNCTION("""COMPUTED_VALUE"""),"PT. Extramarks Indonesia")</f>
        <v>PT. Extramarks Indonesia</v>
      </c>
      <c r="U753" s="49">
        <f ca="1">COUNTIF('Awesome People List-Master'!D:D,T753)</f>
        <v>1</v>
      </c>
      <c r="X753" s="333" t="s">
        <v>2582</v>
      </c>
      <c r="Y753" s="334">
        <v>1</v>
      </c>
      <c r="AB753" s="169" t="e">
        <f>ROUND(#REF!,0)</f>
        <v>#REF!</v>
      </c>
    </row>
    <row r="754" spans="20:28" ht="13">
      <c r="T754" s="49" t="str">
        <f ca="1">IFERROR(__xludf.DUMMYFUNCTION("""COMPUTED_VALUE"""),"IPG Mediabrands ")</f>
        <v xml:space="preserve">IPG Mediabrands </v>
      </c>
      <c r="U754" s="49">
        <f ca="1">COUNTIF('Awesome People List-Master'!D:D,T754)</f>
        <v>1</v>
      </c>
      <c r="X754" s="333" t="s">
        <v>1590</v>
      </c>
      <c r="Y754" s="334">
        <v>1</v>
      </c>
      <c r="AB754" s="169">
        <f>ROUND('Awesome People List-Master'!A1107,0)</f>
        <v>0</v>
      </c>
    </row>
    <row r="755" spans="20:28" ht="13">
      <c r="T755" s="49" t="str">
        <f ca="1">IFERROR(__xludf.DUMMYFUNCTION("""COMPUTED_VALUE"""),"IVE Singapore Pte Ltd")</f>
        <v>IVE Singapore Pte Ltd</v>
      </c>
      <c r="U755" s="49">
        <f ca="1">COUNTIF('Awesome People List-Master'!D:D,T755)</f>
        <v>1</v>
      </c>
      <c r="X755" s="333" t="s">
        <v>2601</v>
      </c>
      <c r="Y755" s="334">
        <v>1</v>
      </c>
      <c r="AB755" s="169">
        <f>ROUND('Awesome People List-Master'!A1108,0)</f>
        <v>0</v>
      </c>
    </row>
    <row r="756" spans="20:28" ht="13">
      <c r="T756" s="49" t="str">
        <f ca="1">IFERROR(__xludf.DUMMYFUNCTION("""COMPUTED_VALUE"""),"JP Morgan Chase")</f>
        <v>JP Morgan Chase</v>
      </c>
      <c r="U756" s="49">
        <f ca="1">COUNTIF('Awesome People List-Master'!D:D,T756)</f>
        <v>1</v>
      </c>
      <c r="X756" s="333" t="s">
        <v>1611</v>
      </c>
      <c r="Y756" s="334">
        <v>1</v>
      </c>
      <c r="AB756" s="169">
        <f>ROUND('Awesome People List-Master'!A1109,0)</f>
        <v>0</v>
      </c>
    </row>
    <row r="757" spans="20:28" ht="13">
      <c r="T757" s="49" t="str">
        <f ca="1">IFERROR(__xludf.DUMMYFUNCTION("""COMPUTED_VALUE"""),"Essence")</f>
        <v>Essence</v>
      </c>
      <c r="U757" s="49">
        <f ca="1">COUNTIF('Awesome People List-Master'!D:D,T757)</f>
        <v>1</v>
      </c>
      <c r="X757" s="333" t="s">
        <v>2625</v>
      </c>
      <c r="Y757" s="334">
        <v>1</v>
      </c>
      <c r="AB757" s="169">
        <f>ROUND('Awesome People List-Master'!A1110,0)</f>
        <v>0</v>
      </c>
    </row>
    <row r="758" spans="20:28" ht="13">
      <c r="T758" s="49" t="str">
        <f ca="1">IFERROR(__xludf.DUMMYFUNCTION("""COMPUTED_VALUE"""),"Jirnexu (RinggitPlus)")</f>
        <v>Jirnexu (RinggitPlus)</v>
      </c>
      <c r="U758" s="49">
        <f ca="1">COUNTIF('Awesome People List-Master'!D:D,T758)</f>
        <v>1</v>
      </c>
      <c r="X758" s="333" t="s">
        <v>3222</v>
      </c>
      <c r="Y758" s="334">
        <v>1</v>
      </c>
      <c r="AB758" s="169">
        <f>ROUND('Awesome People List-Master'!A1111,0)</f>
        <v>0</v>
      </c>
    </row>
    <row r="759" spans="20:28" ht="13">
      <c r="T759" s="49" t="str">
        <f ca="1">IFERROR(__xludf.DUMMYFUNCTION("""COMPUTED_VALUE"""),"ViacomCBS")</f>
        <v>ViacomCBS</v>
      </c>
      <c r="U759" s="49">
        <f ca="1">COUNTIF('Awesome People List-Master'!D:D,T759)</f>
        <v>1</v>
      </c>
      <c r="X759" s="333" t="s">
        <v>2661</v>
      </c>
      <c r="Y759" s="334">
        <v>1</v>
      </c>
      <c r="AB759" s="169">
        <f>ROUND('Awesome People List-Master'!A1112,0)</f>
        <v>0</v>
      </c>
    </row>
    <row r="760" spans="20:28" ht="13">
      <c r="T760" s="49" t="str">
        <f ca="1">IFERROR(__xludf.DUMMYFUNCTION("""COMPUTED_VALUE"""),"Circles Life Asia Pte Ltd")</f>
        <v>Circles Life Asia Pte Ltd</v>
      </c>
      <c r="U760" s="49">
        <f ca="1">COUNTIF('Awesome People List-Master'!D:D,T760)</f>
        <v>1</v>
      </c>
      <c r="X760" s="333" t="s">
        <v>3238</v>
      </c>
      <c r="Y760" s="334">
        <v>1</v>
      </c>
      <c r="AB760" s="169">
        <f>ROUND('Awesome People List-Master'!A1113,0)</f>
        <v>0</v>
      </c>
    </row>
    <row r="761" spans="20:28" ht="13">
      <c r="T761" s="49" t="str">
        <f ca="1">IFERROR(__xludf.DUMMYFUNCTION("""COMPUTED_VALUE"""),"Connected Freight Pte Ltd")</f>
        <v>Connected Freight Pte Ltd</v>
      </c>
      <c r="U761" s="49">
        <f ca="1">COUNTIF('Awesome People List-Master'!D:D,T761)</f>
        <v>1</v>
      </c>
      <c r="X761" s="333" t="s">
        <v>2699</v>
      </c>
      <c r="Y761" s="334">
        <v>1</v>
      </c>
      <c r="AB761" s="169">
        <f>ROUND('Awesome People List-Master'!A1114,0)</f>
        <v>0</v>
      </c>
    </row>
    <row r="762" spans="20:28" ht="13">
      <c r="T762" s="49" t="str">
        <f ca="1">IFERROR(__xludf.DUMMYFUNCTION("""COMPUTED_VALUE"""),"Hacktiv8 Indonesia")</f>
        <v>Hacktiv8 Indonesia</v>
      </c>
      <c r="U762" s="49">
        <f ca="1">COUNTIF('Awesome People List-Master'!D:D,T762)</f>
        <v>1</v>
      </c>
      <c r="X762" s="333" t="s">
        <v>147</v>
      </c>
      <c r="Y762" s="334">
        <v>1</v>
      </c>
      <c r="AB762" s="169">
        <f>ROUND('Awesome People List-Master'!A1115,0)</f>
        <v>0</v>
      </c>
    </row>
    <row r="763" spans="20:28" ht="13">
      <c r="T763" s="49" t="str">
        <f ca="1">IFERROR(__xludf.DUMMYFUNCTION("""COMPUTED_VALUE"""),"OYO Rooms Indonesia")</f>
        <v>OYO Rooms Indonesia</v>
      </c>
      <c r="U763" s="49">
        <f ca="1">COUNTIF('Awesome People List-Master'!D:D,T763)</f>
        <v>2</v>
      </c>
      <c r="X763" s="333" t="s">
        <v>2726</v>
      </c>
      <c r="Y763" s="334">
        <v>1</v>
      </c>
      <c r="AB763" s="169">
        <f>ROUND('Awesome People List-Master'!A1116,0)</f>
        <v>0</v>
      </c>
    </row>
    <row r="764" spans="20:28" ht="13">
      <c r="T764" s="49" t="str">
        <f ca="1">IFERROR(__xludf.DUMMYFUNCTION("""COMPUTED_VALUE"""),"Mitrais")</f>
        <v>Mitrais</v>
      </c>
      <c r="U764" s="49">
        <f ca="1">COUNTIF('Awesome People List-Master'!D:D,T764)</f>
        <v>1</v>
      </c>
      <c r="X764" s="333" t="s">
        <v>1656</v>
      </c>
      <c r="Y764" s="334">
        <v>1</v>
      </c>
      <c r="AB764" s="169">
        <f>ROUND('Awesome People List-Master'!A1117,0)</f>
        <v>0</v>
      </c>
    </row>
    <row r="765" spans="20:28" ht="13">
      <c r="T765" s="49" t="str">
        <f ca="1">IFERROR(__xludf.DUMMYFUNCTION("""COMPUTED_VALUE"""),"Confluent, Inc.")</f>
        <v>Confluent, Inc.</v>
      </c>
      <c r="U765" s="49">
        <f ca="1">COUNTIF('Awesome People List-Master'!D:D,T765)</f>
        <v>1</v>
      </c>
      <c r="X765" s="333" t="s">
        <v>2755</v>
      </c>
      <c r="Y765" s="334">
        <v>1</v>
      </c>
      <c r="AB765" s="169">
        <f>ROUND('Awesome People List-Master'!A1118,0)</f>
        <v>0</v>
      </c>
    </row>
    <row r="766" spans="20:28" ht="13">
      <c r="T766" s="49" t="str">
        <f ca="1">IFERROR(__xludf.DUMMYFUNCTION("""COMPUTED_VALUE"""),"Media Group")</f>
        <v>Media Group</v>
      </c>
      <c r="U766" s="49">
        <f ca="1">COUNTIF('Awesome People List-Master'!D:D,T766)</f>
        <v>3</v>
      </c>
      <c r="X766" s="333" t="s">
        <v>1669</v>
      </c>
      <c r="Y766" s="334">
        <v>1</v>
      </c>
      <c r="AB766" s="169">
        <f>ROUND('Awesome People List-Master'!A1119,0)</f>
        <v>0</v>
      </c>
    </row>
    <row r="767" spans="20:28" ht="13">
      <c r="T767" s="56" t="str">
        <f ca="1">IFERROR(__xludf.DUMMYFUNCTION("""COMPUTED_VALUE"""),"Useget.com")</f>
        <v>Useget.com</v>
      </c>
      <c r="U767" s="49">
        <f ca="1">COUNTIF('Awesome People List-Master'!D:D,T767)</f>
        <v>1</v>
      </c>
      <c r="X767" s="333" t="s">
        <v>2775</v>
      </c>
      <c r="Y767" s="334">
        <v>1</v>
      </c>
      <c r="AB767" s="169">
        <f>ROUND('Awesome People List-Master'!A1120,0)</f>
        <v>0</v>
      </c>
    </row>
    <row r="768" spans="20:28" ht="13">
      <c r="T768" s="49" t="str">
        <f ca="1">IFERROR(__xludf.DUMMYFUNCTION("""COMPUTED_VALUE"""),"Amartha Mikro Fintek")</f>
        <v>Amartha Mikro Fintek</v>
      </c>
      <c r="U768" s="49">
        <f ca="1">COUNTIF('Awesome People List-Master'!D:D,T768)</f>
        <v>1</v>
      </c>
      <c r="X768" s="333" t="s">
        <v>1680</v>
      </c>
      <c r="Y768" s="334">
        <v>1</v>
      </c>
      <c r="AB768" s="169">
        <f>ROUND('Awesome People List-Master'!A1121,0)</f>
        <v>0</v>
      </c>
    </row>
    <row r="769" spans="20:28" ht="13">
      <c r="T769" s="49" t="str">
        <f ca="1">IFERROR(__xludf.DUMMYFUNCTION("""COMPUTED_VALUE"""),"PT. Asus Technology Indonesia Batam")</f>
        <v>PT. Asus Technology Indonesia Batam</v>
      </c>
      <c r="U769" s="49">
        <f ca="1">COUNTIF('Awesome People List-Master'!D:D,T769)</f>
        <v>1</v>
      </c>
      <c r="X769" s="333" t="s">
        <v>591</v>
      </c>
      <c r="Y769" s="334">
        <v>1</v>
      </c>
      <c r="AB769" s="169">
        <f>ROUND('Awesome People List-Master'!A1122,0)</f>
        <v>0</v>
      </c>
    </row>
    <row r="770" spans="20:28" ht="13">
      <c r="T770" s="49" t="str">
        <f ca="1">IFERROR(__xludf.DUMMYFUNCTION("""COMPUTED_VALUE"""),"Larisin")</f>
        <v>Larisin</v>
      </c>
      <c r="U770" s="49">
        <f ca="1">COUNTIF('Awesome People List-Master'!D:D,T770)</f>
        <v>1</v>
      </c>
      <c r="X770" s="333" t="s">
        <v>1691</v>
      </c>
      <c r="Y770" s="334">
        <v>1</v>
      </c>
      <c r="AB770" s="169">
        <f>ROUND('Awesome People List-Master'!A1123,0)</f>
        <v>0</v>
      </c>
    </row>
    <row r="771" spans="20:28" ht="13">
      <c r="T771" s="49" t="str">
        <f ca="1">IFERROR(__xludf.DUMMYFUNCTION("""COMPUTED_VALUE"""),"Insider")</f>
        <v>Insider</v>
      </c>
      <c r="U771" s="49">
        <f ca="1">COUNTIF('Awesome People List-Master'!D:D,T771)</f>
        <v>1</v>
      </c>
      <c r="X771" s="333" t="s">
        <v>604</v>
      </c>
      <c r="Y771" s="334">
        <v>1</v>
      </c>
      <c r="AB771" s="169">
        <f>ROUND('Awesome People List-Master'!A1124,0)</f>
        <v>0</v>
      </c>
    </row>
    <row r="772" spans="20:28" ht="13">
      <c r="T772" s="49" t="str">
        <f ca="1">IFERROR(__xludf.DUMMYFUNCTION("""COMPUTED_VALUE"""),"BookingLokal")</f>
        <v>BookingLokal</v>
      </c>
      <c r="U772" s="49">
        <f ca="1">COUNTIF('Awesome People List-Master'!D:D,T772)</f>
        <v>1</v>
      </c>
      <c r="X772" s="333" t="s">
        <v>404</v>
      </c>
      <c r="Y772" s="334">
        <v>1</v>
      </c>
      <c r="AB772" s="169">
        <f>ROUND('Awesome People List-Master'!A1125,0)</f>
        <v>0</v>
      </c>
    </row>
    <row r="773" spans="20:28" ht="13">
      <c r="T773" s="49" t="str">
        <f ca="1">IFERROR(__xludf.DUMMYFUNCTION("""COMPUTED_VALUE"""),"Prodigy Finance")</f>
        <v>Prodigy Finance</v>
      </c>
      <c r="U773" s="49">
        <f ca="1">COUNTIF('Awesome People List-Master'!D:D,T773)</f>
        <v>1</v>
      </c>
      <c r="X773" s="333" t="s">
        <v>2854</v>
      </c>
      <c r="Y773" s="334">
        <v>1</v>
      </c>
      <c r="AB773" s="169">
        <f>ROUND('Awesome People List-Master'!A1126,0)</f>
        <v>0</v>
      </c>
    </row>
    <row r="774" spans="20:28" ht="13">
      <c r="T774" s="49" t="str">
        <f ca="1">IFERROR(__xludf.DUMMYFUNCTION("""COMPUTED_VALUE"""),"Money20/20")</f>
        <v>Money20/20</v>
      </c>
      <c r="U774" s="49">
        <f ca="1">COUNTIF('Awesome People List-Master'!D:D,T774)</f>
        <v>1</v>
      </c>
      <c r="X774" s="333" t="s">
        <v>1707</v>
      </c>
      <c r="Y774" s="334">
        <v>1</v>
      </c>
      <c r="AB774" s="169">
        <f>ROUND('Awesome People List-Master'!A1127,0)</f>
        <v>0</v>
      </c>
    </row>
    <row r="775" spans="20:28" ht="13">
      <c r="T775" s="49" t="str">
        <f ca="1">IFERROR(__xludf.DUMMYFUNCTION("""COMPUTED_VALUE"""),"Circus Social")</f>
        <v>Circus Social</v>
      </c>
      <c r="U775" s="49">
        <f ca="1">COUNTIF('Awesome People List-Master'!D:D,T775)</f>
        <v>1</v>
      </c>
      <c r="X775" s="333" t="s">
        <v>2874</v>
      </c>
      <c r="Y775" s="334">
        <v>1</v>
      </c>
      <c r="AB775" s="169">
        <f>ROUND('Awesome People List-Master'!A1128,0)</f>
        <v>0</v>
      </c>
    </row>
    <row r="776" spans="20:28" ht="13">
      <c r="T776" s="49" t="str">
        <f ca="1">IFERROR(__xludf.DUMMYFUNCTION("""COMPUTED_VALUE"""),"GetCluey pt LTD")</f>
        <v>GetCluey pt LTD</v>
      </c>
      <c r="U776" s="49">
        <f ca="1">COUNTIF('Awesome People List-Master'!D:D,T776)</f>
        <v>1</v>
      </c>
      <c r="X776" s="333" t="s">
        <v>1715</v>
      </c>
      <c r="Y776" s="334">
        <v>1</v>
      </c>
      <c r="AB776" s="169">
        <f>ROUND('Awesome People List-Master'!A1129,0)</f>
        <v>0</v>
      </c>
    </row>
    <row r="777" spans="20:28" ht="13">
      <c r="T777" s="49" t="str">
        <f ca="1">IFERROR(__xludf.DUMMYFUNCTION("""COMPUTED_VALUE"""),"HTC Global services")</f>
        <v>HTC Global services</v>
      </c>
      <c r="U777" s="49">
        <f ca="1">COUNTIF('Awesome People List-Master'!D:D,T777)</f>
        <v>1</v>
      </c>
      <c r="X777" s="333" t="s">
        <v>2896</v>
      </c>
      <c r="Y777" s="334">
        <v>1</v>
      </c>
      <c r="AB777" s="169">
        <f>ROUND('Awesome People List-Master'!A1130,0)</f>
        <v>0</v>
      </c>
    </row>
    <row r="778" spans="20:28" ht="13">
      <c r="T778" s="49" t="str">
        <f ca="1">IFERROR(__xludf.DUMMYFUNCTION("""COMPUTED_VALUE"""),"Coca Cola Amatil Indonesia")</f>
        <v>Coca Cola Amatil Indonesia</v>
      </c>
      <c r="U778" s="49">
        <f ca="1">COUNTIF('Awesome People List-Master'!D:D,T778)</f>
        <v>1</v>
      </c>
      <c r="X778" s="333" t="s">
        <v>1728</v>
      </c>
      <c r="Y778" s="334">
        <v>1</v>
      </c>
      <c r="AB778" s="169">
        <f>ROUND('Awesome People List-Master'!A1131,0)</f>
        <v>0</v>
      </c>
    </row>
    <row r="779" spans="20:28" ht="13">
      <c r="T779" s="49" t="str">
        <f ca="1">IFERROR(__xludf.DUMMYFUNCTION("""COMPUTED_VALUE"""),"Indosat Ooredoo")</f>
        <v>Indosat Ooredoo</v>
      </c>
      <c r="U779" s="49">
        <f ca="1">COUNTIF('Awesome People List-Master'!D:D,T779)</f>
        <v>1</v>
      </c>
      <c r="X779" s="333" t="s">
        <v>2909</v>
      </c>
      <c r="Y779" s="334">
        <v>1</v>
      </c>
      <c r="AB779" s="169">
        <f>ROUND('Awesome People List-Master'!A1132,0)</f>
        <v>0</v>
      </c>
    </row>
    <row r="780" spans="20:28" ht="13">
      <c r="T780" s="49" t="str">
        <f ca="1">IFERROR(__xludf.DUMMYFUNCTION("""COMPUTED_VALUE"""),"Hussell")</f>
        <v>Hussell</v>
      </c>
      <c r="U780" s="49">
        <f ca="1">COUNTIF('Awesome People List-Master'!D:D,T780)</f>
        <v>1</v>
      </c>
      <c r="X780" s="333" t="s">
        <v>420</v>
      </c>
      <c r="Y780" s="334">
        <v>1</v>
      </c>
      <c r="AB780" s="169">
        <f>ROUND('Awesome People List-Master'!A1133,0)</f>
        <v>0</v>
      </c>
    </row>
    <row r="781" spans="20:28" ht="13">
      <c r="T781" s="49" t="str">
        <f ca="1">IFERROR(__xludf.DUMMYFUNCTION("""COMPUTED_VALUE"""),"Institute of Transport and Logistics Studies")</f>
        <v>Institute of Transport and Logistics Studies</v>
      </c>
      <c r="U781" s="49">
        <f ca="1">COUNTIF('Awesome People List-Master'!D:D,T781)</f>
        <v>1</v>
      </c>
      <c r="X781" s="333" t="s">
        <v>2925</v>
      </c>
      <c r="Y781" s="334">
        <v>1</v>
      </c>
      <c r="AB781" s="169">
        <f>ROUND('Awesome People List-Master'!A1134,0)</f>
        <v>0</v>
      </c>
    </row>
    <row r="782" spans="20:28" ht="13">
      <c r="T782" s="49" t="str">
        <f ca="1">IFERROR(__xludf.DUMMYFUNCTION("""COMPUTED_VALUE"""),"Zalora Group")</f>
        <v>Zalora Group</v>
      </c>
      <c r="U782" s="49">
        <f ca="1">COUNTIF('Awesome People List-Master'!D:D,T782)</f>
        <v>1</v>
      </c>
      <c r="X782" s="333" t="s">
        <v>1743</v>
      </c>
      <c r="Y782" s="334">
        <v>1</v>
      </c>
      <c r="AB782" s="169">
        <f>ROUND('Awesome People List-Master'!A1135,0)</f>
        <v>0</v>
      </c>
    </row>
    <row r="783" spans="20:28" ht="13">
      <c r="T783" s="49" t="str">
        <f ca="1">IFERROR(__xludf.DUMMYFUNCTION("""COMPUTED_VALUE"""),"Cermati")</f>
        <v>Cermati</v>
      </c>
      <c r="U783" s="49">
        <f ca="1">COUNTIF('Awesome People List-Master'!D:D,T783)</f>
        <v>1</v>
      </c>
      <c r="X783" s="333" t="s">
        <v>2944</v>
      </c>
      <c r="Y783" s="334">
        <v>1</v>
      </c>
      <c r="AB783" s="169">
        <f>ROUND('Awesome People List-Master'!A1136,0)</f>
        <v>0</v>
      </c>
    </row>
    <row r="784" spans="20:28" ht="13">
      <c r="T784" s="49" t="str">
        <f ca="1">IFERROR(__xludf.DUMMYFUNCTION("""COMPUTED_VALUE"""),"Vokraf")</f>
        <v>Vokraf</v>
      </c>
      <c r="U784" s="49">
        <f ca="1">COUNTIF('Awesome People List-Master'!D:D,T784)</f>
        <v>1</v>
      </c>
      <c r="X784" s="333" t="s">
        <v>1753</v>
      </c>
      <c r="Y784" s="334">
        <v>1</v>
      </c>
      <c r="AB784" s="169">
        <f>ROUND('Awesome People List-Master'!A1137,0)</f>
        <v>0</v>
      </c>
    </row>
    <row r="785" spans="20:28" ht="13">
      <c r="T785" s="49" t="str">
        <f ca="1">IFERROR(__xludf.DUMMYFUNCTION("""COMPUTED_VALUE"""),"WeWork")</f>
        <v>WeWork</v>
      </c>
      <c r="U785" s="49">
        <f ca="1">COUNTIF('Awesome People List-Master'!D:D,T785)</f>
        <v>1</v>
      </c>
      <c r="X785" s="333" t="s">
        <v>2965</v>
      </c>
      <c r="Y785" s="334">
        <v>1</v>
      </c>
      <c r="AB785" s="169">
        <f>ROUND('Awesome People List-Master'!A1138,0)</f>
        <v>0</v>
      </c>
    </row>
    <row r="786" spans="20:28" ht="13">
      <c r="T786" s="49" t="str">
        <f ca="1">IFERROR(__xludf.DUMMYFUNCTION("""COMPUTED_VALUE"""),"Persada Entertainment")</f>
        <v>Persada Entertainment</v>
      </c>
      <c r="U786" s="49">
        <f ca="1">COUNTIF('Awesome People List-Master'!D:D,T786)</f>
        <v>1</v>
      </c>
      <c r="X786" s="333" t="s">
        <v>431</v>
      </c>
      <c r="Y786" s="334">
        <v>1</v>
      </c>
      <c r="AB786" s="169">
        <f>ROUND('Awesome People List-Master'!A1139,0)</f>
        <v>0</v>
      </c>
    </row>
    <row r="787" spans="20:28" ht="13">
      <c r="T787" s="49" t="str">
        <f ca="1">IFERROR(__xludf.DUMMYFUNCTION("""COMPUTED_VALUE"""),"Koinworks")</f>
        <v>Koinworks</v>
      </c>
      <c r="U787" s="49">
        <f ca="1">COUNTIF('Awesome People List-Master'!D:D,T787)</f>
        <v>6</v>
      </c>
      <c r="X787" s="333" t="s">
        <v>2987</v>
      </c>
      <c r="Y787" s="334">
        <v>1</v>
      </c>
      <c r="AB787" s="169">
        <f>ROUND('Awesome People List-Master'!A1140,0)</f>
        <v>0</v>
      </c>
    </row>
    <row r="788" spans="20:28" ht="13">
      <c r="T788" s="49" t="str">
        <f ca="1">IFERROR(__xludf.DUMMYFUNCTION("""COMPUTED_VALUE"""),"Corto")</f>
        <v>Corto</v>
      </c>
      <c r="U788" s="49">
        <f ca="1">COUNTIF('Awesome People List-Master'!D:D,T788)</f>
        <v>1</v>
      </c>
      <c r="X788" s="333" t="s">
        <v>1767</v>
      </c>
      <c r="Y788" s="334">
        <v>1</v>
      </c>
      <c r="AB788" s="169">
        <f>ROUND('Awesome People List-Master'!A1141,0)</f>
        <v>0</v>
      </c>
    </row>
    <row r="789" spans="20:28" ht="13">
      <c r="T789" s="49" t="str">
        <f ca="1">IFERROR(__xludf.DUMMYFUNCTION("""COMPUTED_VALUE"""),"Airbnb Singapore ")</f>
        <v xml:space="preserve">Airbnb Singapore </v>
      </c>
      <c r="U789" s="49">
        <f ca="1">COUNTIF('Awesome People List-Master'!D:D,T789)</f>
        <v>1</v>
      </c>
      <c r="X789" s="333" t="s">
        <v>3006</v>
      </c>
      <c r="Y789" s="334">
        <v>1</v>
      </c>
      <c r="AB789" s="169">
        <f>ROUND('Awesome People List-Master'!A1142,0)</f>
        <v>0</v>
      </c>
    </row>
    <row r="790" spans="20:28" ht="13">
      <c r="T790" s="49" t="str">
        <f ca="1">IFERROR(__xludf.DUMMYFUNCTION("""COMPUTED_VALUE"""),"CIMB Niaga Tbk")</f>
        <v>CIMB Niaga Tbk</v>
      </c>
      <c r="U790" s="49">
        <f ca="1">COUNTIF('Awesome People List-Master'!D:D,T790)</f>
        <v>1</v>
      </c>
      <c r="X790" s="333" t="s">
        <v>1779</v>
      </c>
      <c r="Y790" s="334">
        <v>1</v>
      </c>
      <c r="AB790" s="169">
        <f>ROUND('Awesome People List-Master'!A1143,0)</f>
        <v>0</v>
      </c>
    </row>
    <row r="791" spans="20:28" ht="13">
      <c r="T791" s="49" t="str">
        <f ca="1">IFERROR(__xludf.DUMMYFUNCTION("""COMPUTED_VALUE"""),"Artemis Consultant")</f>
        <v>Artemis Consultant</v>
      </c>
      <c r="U791" s="49">
        <f ca="1">COUNTIF('Awesome People List-Master'!D:D,T791)</f>
        <v>1</v>
      </c>
      <c r="X791" s="333" t="s">
        <v>3028</v>
      </c>
      <c r="Y791" s="334">
        <v>1</v>
      </c>
      <c r="AB791" s="169">
        <f>ROUND('Awesome People List-Master'!A1144,0)</f>
        <v>0</v>
      </c>
    </row>
    <row r="792" spans="20:28" ht="13">
      <c r="T792" s="49" t="str">
        <f ca="1">IFERROR(__xludf.DUMMYFUNCTION("""COMPUTED_VALUE"""),"Helochatid")</f>
        <v>Helochatid</v>
      </c>
      <c r="U792" s="49">
        <f ca="1">COUNTIF('Awesome People List-Master'!D:D,T792)</f>
        <v>1</v>
      </c>
      <c r="X792" s="333" t="s">
        <v>1799</v>
      </c>
      <c r="Y792" s="334">
        <v>1</v>
      </c>
      <c r="AB792" s="169">
        <f>ROUND('Awesome People List-Master'!A1145,0)</f>
        <v>0</v>
      </c>
    </row>
    <row r="793" spans="20:28" ht="13">
      <c r="T793" s="49" t="str">
        <f ca="1">IFERROR(__xludf.DUMMYFUNCTION("""COMPUTED_VALUE"""),"Nutrifood Indonesia")</f>
        <v>Nutrifood Indonesia</v>
      </c>
      <c r="U793" s="49">
        <f ca="1">COUNTIF('Awesome People List-Master'!D:D,T793)</f>
        <v>1</v>
      </c>
      <c r="X793" s="333" t="s">
        <v>3045</v>
      </c>
      <c r="Y793" s="334">
        <v>1</v>
      </c>
      <c r="AB793" s="169">
        <f>ROUND('Awesome People List-Master'!A1146,0)</f>
        <v>0</v>
      </c>
    </row>
    <row r="794" spans="20:28" ht="13">
      <c r="T794" s="49" t="str">
        <f ca="1">IFERROR(__xludf.DUMMYFUNCTION("""COMPUTED_VALUE"""),"MOKA")</f>
        <v>MOKA</v>
      </c>
      <c r="U794" s="49">
        <f ca="1">COUNTIF('Awesome People List-Master'!D:D,T794)</f>
        <v>3</v>
      </c>
      <c r="X794" s="333" t="s">
        <v>1807</v>
      </c>
      <c r="Y794" s="334">
        <v>1</v>
      </c>
      <c r="AB794" s="169">
        <f>ROUND('Awesome People List-Master'!A1147,0)</f>
        <v>0</v>
      </c>
    </row>
    <row r="795" spans="20:28" ht="13">
      <c r="T795" s="49" t="str">
        <f ca="1">IFERROR(__xludf.DUMMYFUNCTION("""COMPUTED_VALUE"""),"LABWRKS Architect")</f>
        <v>LABWRKS Architect</v>
      </c>
      <c r="U795" s="49">
        <f ca="1">COUNTIF('Awesome People List-Master'!D:D,T795)</f>
        <v>1</v>
      </c>
      <c r="X795" s="333" t="s">
        <v>3064</v>
      </c>
      <c r="Y795" s="334">
        <v>1</v>
      </c>
      <c r="AB795" s="169">
        <f>ROUND('Awesome People List-Master'!A1148,0)</f>
        <v>0</v>
      </c>
    </row>
    <row r="796" spans="20:28" ht="13">
      <c r="T796" s="49" t="str">
        <f ca="1">IFERROR(__xludf.DUMMYFUNCTION("""COMPUTED_VALUE"""),"Asia Justice and Rights ")</f>
        <v xml:space="preserve">Asia Justice and Rights </v>
      </c>
      <c r="U796" s="49">
        <f ca="1">COUNTIF('Awesome People List-Master'!D:D,T796)</f>
        <v>1</v>
      </c>
      <c r="X796" s="333" t="s">
        <v>1820</v>
      </c>
      <c r="Y796" s="334">
        <v>1</v>
      </c>
      <c r="AB796" s="169">
        <f>ROUND('Awesome People List-Master'!A1149,0)</f>
        <v>0</v>
      </c>
    </row>
    <row r="797" spans="20:28" ht="13">
      <c r="T797" s="49" t="str">
        <f ca="1">IFERROR(__xludf.DUMMYFUNCTION("""COMPUTED_VALUE"""),"PT. Agate International")</f>
        <v>PT. Agate International</v>
      </c>
      <c r="U797" s="49">
        <f ca="1">COUNTIF('Awesome People List-Master'!D:D,T797)</f>
        <v>1</v>
      </c>
      <c r="X797" s="333" t="s">
        <v>3082</v>
      </c>
      <c r="Y797" s="334">
        <v>1</v>
      </c>
      <c r="AB797" s="169">
        <f>ROUND('Awesome People List-Master'!A1150,0)</f>
        <v>0</v>
      </c>
    </row>
    <row r="798" spans="20:28" ht="13">
      <c r="T798" s="49" t="str">
        <f ca="1">IFERROR(__xludf.DUMMYFUNCTION("""COMPUTED_VALUE"""),"Kawan Lama Group ")</f>
        <v xml:space="preserve">Kawan Lama Group </v>
      </c>
      <c r="U798" s="49">
        <f ca="1">COUNTIF('Awesome People List-Master'!D:D,T798)</f>
        <v>1</v>
      </c>
      <c r="X798" s="333" t="s">
        <v>1829</v>
      </c>
      <c r="Y798" s="334">
        <v>1</v>
      </c>
      <c r="AB798" s="169">
        <f>ROUND('Awesome People List-Master'!A1151,0)</f>
        <v>0</v>
      </c>
    </row>
    <row r="799" spans="20:28" ht="13">
      <c r="T799" s="49" t="str">
        <f ca="1">IFERROR(__xludf.DUMMYFUNCTION("""COMPUTED_VALUE"""),"Micromine")</f>
        <v>Micromine</v>
      </c>
      <c r="U799" s="49">
        <f ca="1">COUNTIF('Awesome People List-Master'!D:D,T799)</f>
        <v>1</v>
      </c>
      <c r="X799" s="333" t="s">
        <v>3103</v>
      </c>
      <c r="Y799" s="334">
        <v>1</v>
      </c>
      <c r="AB799" s="169">
        <f>ROUND('Awesome People List-Master'!A1152,0)</f>
        <v>0</v>
      </c>
    </row>
    <row r="800" spans="20:28" ht="13">
      <c r="T800" s="49" t="str">
        <f ca="1">IFERROR(__xludf.DUMMYFUNCTION("""COMPUTED_VALUE"""),"Hipwee")</f>
        <v>Hipwee</v>
      </c>
      <c r="U800" s="49">
        <f ca="1">COUNTIF('Awesome People List-Master'!D:D,T800)</f>
        <v>1</v>
      </c>
      <c r="X800" s="333" t="s">
        <v>1846</v>
      </c>
      <c r="Y800" s="334">
        <v>1</v>
      </c>
      <c r="AB800" s="169">
        <f>ROUND('Awesome People List-Master'!A1153,0)</f>
        <v>0</v>
      </c>
    </row>
    <row r="801" spans="20:28" ht="13">
      <c r="T801" s="49" t="str">
        <f ca="1">IFERROR(__xludf.DUMMYFUNCTION("""COMPUTED_VALUE"""),"Fluentgrid Limited")</f>
        <v>Fluentgrid Limited</v>
      </c>
      <c r="U801" s="49">
        <f ca="1">COUNTIF('Awesome People List-Master'!D:D,T801)</f>
        <v>1</v>
      </c>
      <c r="X801" s="333" t="s">
        <v>3123</v>
      </c>
      <c r="Y801" s="334">
        <v>1</v>
      </c>
      <c r="AB801" s="169">
        <f>ROUND('Awesome People List-Master'!A1154,0)</f>
        <v>0</v>
      </c>
    </row>
    <row r="802" spans="20:28" ht="13">
      <c r="T802" s="49" t="str">
        <f ca="1">IFERROR(__xludf.DUMMYFUNCTION("""COMPUTED_VALUE"""),"PVH Corp.")</f>
        <v>PVH Corp.</v>
      </c>
      <c r="U802" s="49">
        <f ca="1">COUNTIF('Awesome People List-Master'!D:D,T802)</f>
        <v>1</v>
      </c>
      <c r="X802" s="333" t="s">
        <v>1853</v>
      </c>
      <c r="Y802" s="334">
        <v>1</v>
      </c>
      <c r="AB802" s="169">
        <f>ROUND('Awesome People List-Master'!A1155,0)</f>
        <v>0</v>
      </c>
    </row>
    <row r="803" spans="20:28" ht="13">
      <c r="T803" s="49" t="str">
        <f ca="1">IFERROR(__xludf.DUMMYFUNCTION("""COMPUTED_VALUE"""),"Metroney &amp; PestaDiskon")</f>
        <v>Metroney &amp; PestaDiskon</v>
      </c>
      <c r="U803" s="49">
        <f ca="1">COUNTIF('Awesome People List-Master'!D:D,T803)</f>
        <v>1</v>
      </c>
      <c r="X803" s="333" t="s">
        <v>3185</v>
      </c>
      <c r="Y803" s="334">
        <v>1</v>
      </c>
      <c r="AB803" s="169">
        <f>ROUND('Awesome People List-Master'!A1156,0)</f>
        <v>0</v>
      </c>
    </row>
    <row r="804" spans="20:28" ht="13">
      <c r="T804" s="49" t="str">
        <f ca="1">IFERROR(__xludf.DUMMYFUNCTION("""COMPUTED_VALUE"""),"ISMAYA Group")</f>
        <v>ISMAYA Group</v>
      </c>
      <c r="U804" s="49">
        <f ca="1">COUNTIF('Awesome People List-Master'!D:D,T804)</f>
        <v>2</v>
      </c>
      <c r="X804" s="333" t="s">
        <v>1878</v>
      </c>
      <c r="Y804" s="334">
        <v>1</v>
      </c>
      <c r="AB804" s="169">
        <f>ROUND('Awesome People List-Master'!A1157,0)</f>
        <v>0</v>
      </c>
    </row>
    <row r="805" spans="20:28" ht="13">
      <c r="T805" s="49" t="str">
        <f ca="1">IFERROR(__xludf.DUMMYFUNCTION("""COMPUTED_VALUE"""),"Hakuhodo Network Indonesia (LOTUS:H)")</f>
        <v>Hakuhodo Network Indonesia (LOTUS:H)</v>
      </c>
      <c r="U805" s="49">
        <f ca="1">COUNTIF('Awesome People List-Master'!D:D,T805)</f>
        <v>1</v>
      </c>
      <c r="X805" s="333" t="s">
        <v>3214</v>
      </c>
      <c r="Y805" s="334">
        <v>1</v>
      </c>
      <c r="AB805" s="169">
        <f>ROUND('Awesome People List-Master'!A1158,0)</f>
        <v>0</v>
      </c>
    </row>
    <row r="806" spans="20:28" ht="13">
      <c r="T806" s="49" t="str">
        <f ca="1">IFERROR(__xludf.DUMMYFUNCTION("""COMPUTED_VALUE"""),"Boost Media International Pte Ltd")</f>
        <v>Boost Media International Pte Ltd</v>
      </c>
      <c r="U806" s="49">
        <f ca="1">COUNTIF('Awesome People List-Master'!D:D,T806)</f>
        <v>1</v>
      </c>
      <c r="X806" s="333" t="s">
        <v>1890</v>
      </c>
      <c r="Y806" s="334">
        <v>1</v>
      </c>
      <c r="AB806" s="169">
        <f>ROUND('Awesome People List-Master'!A1159,0)</f>
        <v>0</v>
      </c>
    </row>
    <row r="807" spans="20:28" ht="13">
      <c r="T807" s="49" t="str">
        <f ca="1">IFERROR(__xludf.DUMMYFUNCTION("""COMPUTED_VALUE"""),"Hakuhodo Network Indonesia")</f>
        <v>Hakuhodo Network Indonesia</v>
      </c>
      <c r="U807" s="49">
        <f ca="1">COUNTIF('Awesome People List-Master'!D:D,T807)</f>
        <v>1</v>
      </c>
      <c r="X807" s="333" t="s">
        <v>1902</v>
      </c>
      <c r="Y807" s="334">
        <v>1</v>
      </c>
      <c r="AB807" s="169">
        <f>ROUND('Awesome People List-Master'!A1160,0)</f>
        <v>0</v>
      </c>
    </row>
    <row r="808" spans="20:28" ht="13">
      <c r="T808" s="49" t="str">
        <f ca="1">IFERROR(__xludf.DUMMYFUNCTION("""COMPUTED_VALUE"""),"ExCo Partners / Nine Entertainment")</f>
        <v>ExCo Partners / Nine Entertainment</v>
      </c>
      <c r="U808" s="49">
        <f ca="1">COUNTIF('Awesome People List-Master'!D:D,T808)</f>
        <v>1</v>
      </c>
      <c r="X808" s="333" t="s">
        <v>1620</v>
      </c>
      <c r="Y808" s="334">
        <v>1</v>
      </c>
      <c r="AB808" s="169">
        <f>ROUND('Awesome People List-Master'!A1161,0)</f>
        <v>0</v>
      </c>
    </row>
    <row r="809" spans="20:28" ht="13">
      <c r="T809" s="49" t="str">
        <f ca="1">IFERROR(__xludf.DUMMYFUNCTION("""COMPUTED_VALUE"""),"PT Bumi Sarimas Indonesia")</f>
        <v>PT Bumi Sarimas Indonesia</v>
      </c>
      <c r="U809" s="49">
        <f ca="1">COUNTIF('Awesome People List-Master'!D:D,T809)</f>
        <v>1</v>
      </c>
      <c r="X809" s="333" t="s">
        <v>29</v>
      </c>
      <c r="Y809" s="334">
        <v>1</v>
      </c>
      <c r="AB809" s="169">
        <f>ROUND('Awesome People List-Master'!A1162,0)</f>
        <v>0</v>
      </c>
    </row>
    <row r="810" spans="20:28" ht="13">
      <c r="T810" s="49" t="str">
        <f ca="1">IFERROR(__xludf.DUMMYFUNCTION("""COMPUTED_VALUE"""),"Janio Asia")</f>
        <v>Janio Asia</v>
      </c>
      <c r="U810" s="49">
        <f ca="1">COUNTIF('Awesome People List-Master'!D:D,T810)</f>
        <v>1</v>
      </c>
      <c r="X810" s="333" t="s">
        <v>1628</v>
      </c>
      <c r="Y810" s="334">
        <v>1</v>
      </c>
      <c r="AB810" s="169">
        <f>ROUND('Awesome People List-Master'!A1163,0)</f>
        <v>0</v>
      </c>
    </row>
    <row r="811" spans="20:28" ht="13">
      <c r="T811" s="49" t="str">
        <f ca="1">IFERROR(__xludf.DUMMYFUNCTION("""COMPUTED_VALUE"""),"WeLab Bank")</f>
        <v>WeLab Bank</v>
      </c>
      <c r="U811" s="49">
        <f ca="1">COUNTIF('Awesome People List-Master'!D:D,T811)</f>
        <v>1</v>
      </c>
      <c r="X811" s="333" t="s">
        <v>9622</v>
      </c>
      <c r="Y811" s="334">
        <v>0</v>
      </c>
      <c r="AB811" s="169">
        <f>ROUND('Awesome People List-Master'!A1164,0)</f>
        <v>0</v>
      </c>
    </row>
    <row r="812" spans="20:28" ht="13">
      <c r="T812" s="49" t="str">
        <f ca="1">IFERROR(__xludf.DUMMYFUNCTION("""COMPUTED_VALUE"""),"PT. Sinergi Informatika Semen Indonesia")</f>
        <v>PT. Sinergi Informatika Semen Indonesia</v>
      </c>
      <c r="U812" s="49">
        <f ca="1">COUNTIF('Awesome People List-Master'!D:D,T812)</f>
        <v>1</v>
      </c>
      <c r="X812" s="335" t="s">
        <v>9621</v>
      </c>
      <c r="Y812" s="336">
        <v>1048653</v>
      </c>
      <c r="AB812" s="169">
        <f>ROUND('Awesome People List-Master'!A1165,0)</f>
        <v>0</v>
      </c>
    </row>
    <row r="813" spans="20:28" ht="13">
      <c r="T813" s="49" t="str">
        <f ca="1">IFERROR(__xludf.DUMMYFUNCTION("""COMPUTED_VALUE"""),"Taraph Technologies")</f>
        <v>Taraph Technologies</v>
      </c>
      <c r="U813" s="49">
        <f ca="1">COUNTIF('Awesome People List-Master'!D:D,T813)</f>
        <v>1</v>
      </c>
      <c r="AB813" s="169">
        <f>ROUND('Awesome People List-Master'!A1166,0)</f>
        <v>0</v>
      </c>
    </row>
    <row r="814" spans="20:28" ht="13">
      <c r="T814" s="49" t="str">
        <f ca="1">IFERROR(__xludf.DUMMYFUNCTION("""COMPUTED_VALUE"""),"ReCharge indonesia")</f>
        <v>ReCharge indonesia</v>
      </c>
      <c r="U814" s="49">
        <f ca="1">COUNTIF('Awesome People List-Master'!D:D,T814)</f>
        <v>3</v>
      </c>
      <c r="AB814" s="169">
        <f>ROUND('Awesome People List-Master'!A1167,0)</f>
        <v>0</v>
      </c>
    </row>
    <row r="815" spans="20:28" ht="13">
      <c r="T815" s="49" t="str">
        <f ca="1">IFERROR(__xludf.DUMMYFUNCTION("""COMPUTED_VALUE"""),"Warung Pintar")</f>
        <v>Warung Pintar</v>
      </c>
      <c r="U815" s="49">
        <f ca="1">COUNTIF('Awesome People List-Master'!D:D,T815)</f>
        <v>1</v>
      </c>
      <c r="AB815" s="169">
        <f>ROUND('Awesome People List-Master'!A1168,0)</f>
        <v>0</v>
      </c>
    </row>
    <row r="816" spans="20:28" ht="13">
      <c r="T816" s="49" t="str">
        <f ca="1">IFERROR(__xludf.DUMMYFUNCTION("""COMPUTED_VALUE"""),"JakPro JSL ITF Sunter ")</f>
        <v xml:space="preserve">JakPro JSL ITF Sunter </v>
      </c>
      <c r="U816" s="49">
        <f ca="1">COUNTIF('Awesome People List-Master'!D:D,T816)</f>
        <v>1</v>
      </c>
      <c r="AB816" s="169">
        <f>ROUND('Awesome People List-Master'!A1169,0)</f>
        <v>0</v>
      </c>
    </row>
    <row r="817" spans="20:28" ht="13">
      <c r="T817" s="56" t="str">
        <f ca="1">IFERROR(__xludf.DUMMYFUNCTION("""COMPUTED_VALUE"""),"Grivy.com")</f>
        <v>Grivy.com</v>
      </c>
      <c r="U817" s="49">
        <f ca="1">COUNTIF('Awesome People List-Master'!D:D,T817)</f>
        <v>1</v>
      </c>
      <c r="AB817" s="169">
        <f>ROUND('Awesome People List-Master'!A1170,0)</f>
        <v>0</v>
      </c>
    </row>
    <row r="818" spans="20:28" ht="13">
      <c r="T818" s="49" t="str">
        <f ca="1">IFERROR(__xludf.DUMMYFUNCTION("""COMPUTED_VALUE"""),"Red Nose Foundation")</f>
        <v>Red Nose Foundation</v>
      </c>
      <c r="U818" s="49">
        <f ca="1">COUNTIF('Awesome People List-Master'!D:D,T818)</f>
        <v>1</v>
      </c>
      <c r="AB818" s="169">
        <f>ROUND('Awesome People List-Master'!A1171,0)</f>
        <v>0</v>
      </c>
    </row>
    <row r="819" spans="20:28" ht="13">
      <c r="T819" s="49" t="str">
        <f ca="1">IFERROR(__xludf.DUMMYFUNCTION("""COMPUTED_VALUE"""),"")</f>
        <v/>
      </c>
      <c r="U819" s="49">
        <f ca="1">COUNTIF('Awesome People List-Master'!D:D,T819)</f>
        <v>1047305</v>
      </c>
      <c r="AB819" s="169">
        <f>ROUND('Awesome People List-Master'!A1172,0)</f>
        <v>0</v>
      </c>
    </row>
    <row r="820" spans="20:28" ht="13">
      <c r="T820" s="49" t="str">
        <f ca="1">IFERROR(__xludf.DUMMYFUNCTION("""COMPUTED_VALUE"""),"INSEAD / Neuron Mobility")</f>
        <v>INSEAD / Neuron Mobility</v>
      </c>
      <c r="U820" s="49">
        <f ca="1">COUNTIF('Awesome People List-Master'!D:D,T820)</f>
        <v>1</v>
      </c>
      <c r="AB820" s="169">
        <f>ROUND('Awesome People List-Master'!A1173,0)</f>
        <v>0</v>
      </c>
    </row>
    <row r="821" spans="20:28" ht="13">
      <c r="T821" s="49" t="str">
        <f ca="1">IFERROR(__xludf.DUMMYFUNCTION("""COMPUTED_VALUE"""),"Andrew Yang 2020 (US Presidential Campaign)")</f>
        <v>Andrew Yang 2020 (US Presidential Campaign)</v>
      </c>
      <c r="U821" s="49">
        <f ca="1">COUNTIF('Awesome People List-Master'!D:D,T821)</f>
        <v>1</v>
      </c>
      <c r="AB821" s="169">
        <f>ROUND('Awesome People List-Master'!A1174,0)</f>
        <v>0</v>
      </c>
    </row>
    <row r="822" spans="20:28" ht="13">
      <c r="T822" s="49" t="str">
        <f ca="1">IFERROR(__xludf.DUMMYFUNCTION("""COMPUTED_VALUE"""),"StubHub (former eBay subsidiary)")</f>
        <v>StubHub (former eBay subsidiary)</v>
      </c>
      <c r="U822" s="49">
        <f ca="1">COUNTIF('Awesome People List-Master'!D:D,T822)</f>
        <v>1</v>
      </c>
      <c r="AB822" s="169">
        <f>ROUND('Awesome People List-Master'!A1175,0)</f>
        <v>0</v>
      </c>
    </row>
    <row r="823" spans="20:28" ht="13">
      <c r="T823" s="49" t="str">
        <f ca="1">IFERROR(__xludf.DUMMYFUNCTION("""COMPUTED_VALUE"""),"Brown University")</f>
        <v>Brown University</v>
      </c>
      <c r="U823" s="49">
        <f ca="1">COUNTIF('Awesome People List-Master'!D:D,T823)</f>
        <v>1</v>
      </c>
      <c r="AB823" s="169">
        <f>ROUND('Awesome People List-Master'!A1176,0)</f>
        <v>0</v>
      </c>
    </row>
    <row r="824" spans="20:28" ht="13">
      <c r="T824" s="49" t="str">
        <f ca="1">IFERROR(__xludf.DUMMYFUNCTION("""COMPUTED_VALUE"""),"Medella Cancer Cure Centre")</f>
        <v>Medella Cancer Cure Centre</v>
      </c>
      <c r="U824" s="49">
        <f ca="1">COUNTIF('Awesome People List-Master'!D:D,T824)</f>
        <v>1</v>
      </c>
      <c r="AB824" s="169">
        <f>ROUND('Awesome People List-Master'!A1177,0)</f>
        <v>0</v>
      </c>
    </row>
    <row r="825" spans="20:28" ht="13">
      <c r="T825" s="49" t="str">
        <f ca="1">IFERROR(__xludf.DUMMYFUNCTION("""COMPUTED_VALUE"""),"Bussr")</f>
        <v>Bussr</v>
      </c>
      <c r="U825" s="49">
        <f ca="1">COUNTIF('Awesome People List-Master'!D:D,T825)</f>
        <v>1</v>
      </c>
      <c r="AB825" s="169">
        <f>ROUND('Awesome People List-Master'!A1178,0)</f>
        <v>0</v>
      </c>
    </row>
    <row r="826" spans="20:28" ht="13">
      <c r="T826" s="49" t="str">
        <f ca="1">IFERROR(__xludf.DUMMYFUNCTION("""COMPUTED_VALUE"""),"Attest")</f>
        <v>Attest</v>
      </c>
      <c r="U826" s="49">
        <f ca="1">COUNTIF('Awesome People List-Master'!D:D,T826)</f>
        <v>1</v>
      </c>
      <c r="AB826" s="169">
        <f>ROUND('Awesome People List-Master'!A1179,0)</f>
        <v>0</v>
      </c>
    </row>
    <row r="827" spans="20:28" ht="13">
      <c r="T827" s="49" t="str">
        <f ca="1">IFERROR(__xludf.DUMMYFUNCTION("""COMPUTED_VALUE"""),"DBS Bank")</f>
        <v>DBS Bank</v>
      </c>
      <c r="U827" s="49">
        <f ca="1">COUNTIF('Awesome People List-Master'!D:D,T827)</f>
        <v>1</v>
      </c>
      <c r="AB827" s="169">
        <f>ROUND('Awesome People List-Master'!A1180,0)</f>
        <v>0</v>
      </c>
    </row>
    <row r="828" spans="20:28" ht="13">
      <c r="T828" s="49" t="str">
        <f ca="1">IFERROR(__xludf.DUMMYFUNCTION("""COMPUTED_VALUE"""),"Abakus Asia Pacific Pte Ltd")</f>
        <v>Abakus Asia Pacific Pte Ltd</v>
      </c>
      <c r="U828" s="49">
        <f ca="1">COUNTIF('Awesome People List-Master'!D:D,T828)</f>
        <v>1</v>
      </c>
      <c r="AB828" s="169">
        <f>ROUND('Awesome People List-Master'!A1181,0)</f>
        <v>0</v>
      </c>
    </row>
    <row r="829" spans="20:28" ht="13">
      <c r="U829" s="49">
        <f>COUNTIF('Awesome People List-Master'!D:D,T829)</f>
        <v>0</v>
      </c>
      <c r="AB829" s="169">
        <f>ROUND('Awesome People List-Master'!A1182,0)</f>
        <v>0</v>
      </c>
    </row>
    <row r="830" spans="20:28" ht="13">
      <c r="U830" s="49">
        <f>COUNTIF('Awesome People List-Master'!D:D,T830)</f>
        <v>0</v>
      </c>
      <c r="AB830" s="169">
        <f>ROUND('Awesome People List-Master'!A1183,0)</f>
        <v>0</v>
      </c>
    </row>
    <row r="831" spans="20:28" ht="13">
      <c r="U831" s="49">
        <f>COUNTIF('Awesome People List-Master'!D:D,T831)</f>
        <v>0</v>
      </c>
      <c r="AB831" s="169">
        <f>ROUND('Awesome People List-Master'!A1184,0)</f>
        <v>0</v>
      </c>
    </row>
    <row r="832" spans="20:28" ht="13">
      <c r="U832" s="49">
        <f>COUNTIF('Awesome People List-Master'!D:D,T832)</f>
        <v>0</v>
      </c>
      <c r="AB832" s="169">
        <f>ROUND('Awesome People List-Master'!A1185,0)</f>
        <v>0</v>
      </c>
    </row>
    <row r="833" spans="21:28" ht="13">
      <c r="U833" s="49">
        <f>COUNTIF('Awesome People List-Master'!D:D,T833)</f>
        <v>0</v>
      </c>
      <c r="AB833" s="169">
        <f>ROUND('Awesome People List-Master'!A1186,0)</f>
        <v>0</v>
      </c>
    </row>
    <row r="834" spans="21:28" ht="13">
      <c r="U834" s="49">
        <f>COUNTIF('Awesome People List-Master'!D:D,T834)</f>
        <v>0</v>
      </c>
      <c r="AB834" s="169">
        <f>ROUND('Awesome People List-Master'!A1187,0)</f>
        <v>0</v>
      </c>
    </row>
    <row r="835" spans="21:28" ht="13">
      <c r="U835" s="49">
        <f>COUNTIF('Awesome People List-Master'!D:D,T835)</f>
        <v>0</v>
      </c>
      <c r="AB835" s="169">
        <f>ROUND('Awesome People List-Master'!A1188,0)</f>
        <v>0</v>
      </c>
    </row>
    <row r="836" spans="21:28" ht="13">
      <c r="U836" s="49">
        <f>COUNTIF('Awesome People List-Master'!D:D,T836)</f>
        <v>0</v>
      </c>
      <c r="AB836" s="169">
        <f>ROUND('Awesome People List-Master'!A1189,0)</f>
        <v>0</v>
      </c>
    </row>
    <row r="837" spans="21:28" ht="13">
      <c r="U837" s="49">
        <f>COUNTIF('Awesome People List-Master'!D:D,T837)</f>
        <v>0</v>
      </c>
      <c r="AB837" s="169">
        <f>ROUND('Awesome People List-Master'!A1190,0)</f>
        <v>0</v>
      </c>
    </row>
    <row r="838" spans="21:28" ht="13">
      <c r="U838" s="49">
        <f>COUNTIF('Awesome People List-Master'!D:D,T838)</f>
        <v>0</v>
      </c>
      <c r="AB838" s="169">
        <f>ROUND('Awesome People List-Master'!A1191,0)</f>
        <v>0</v>
      </c>
    </row>
    <row r="839" spans="21:28" ht="13">
      <c r="U839" s="49">
        <f>COUNTIF('Awesome People List-Master'!D:D,T839)</f>
        <v>0</v>
      </c>
      <c r="AB839" s="169">
        <f>ROUND('Awesome People List-Master'!A1192,0)</f>
        <v>0</v>
      </c>
    </row>
    <row r="840" spans="21:28" ht="13">
      <c r="U840" s="49">
        <f>COUNTIF('Awesome People List-Master'!D:D,T840)</f>
        <v>0</v>
      </c>
      <c r="AB840" s="169">
        <f>ROUND('Awesome People List-Master'!A1193,0)</f>
        <v>0</v>
      </c>
    </row>
    <row r="841" spans="21:28" ht="13">
      <c r="U841" s="49">
        <f>COUNTIF('Awesome People List-Master'!D:D,T841)</f>
        <v>0</v>
      </c>
      <c r="AB841" s="169">
        <f>ROUND('Awesome People List-Master'!A1194,0)</f>
        <v>0</v>
      </c>
    </row>
    <row r="842" spans="21:28" ht="13">
      <c r="U842" s="49">
        <f>COUNTIF('Awesome People List-Master'!D:D,T842)</f>
        <v>0</v>
      </c>
      <c r="AB842" s="169">
        <f>ROUND('Awesome People List-Master'!A1195,0)</f>
        <v>0</v>
      </c>
    </row>
    <row r="843" spans="21:28" ht="13">
      <c r="U843" s="49">
        <f>COUNTIF('Awesome People List-Master'!D:D,T843)</f>
        <v>0</v>
      </c>
      <c r="AB843" s="169">
        <f>ROUND('Awesome People List-Master'!A1196,0)</f>
        <v>0</v>
      </c>
    </row>
    <row r="844" spans="21:28" ht="13">
      <c r="U844" s="49">
        <f>COUNTIF('Awesome People List-Master'!D:D,T844)</f>
        <v>0</v>
      </c>
      <c r="AB844" s="169">
        <f>ROUND('Awesome People List-Master'!A1197,0)</f>
        <v>0</v>
      </c>
    </row>
    <row r="845" spans="21:28" ht="13">
      <c r="U845" s="49">
        <f>COUNTIF('Awesome People List-Master'!D:D,T845)</f>
        <v>0</v>
      </c>
      <c r="AB845" s="169">
        <f>ROUND('Awesome People List-Master'!A1198,0)</f>
        <v>0</v>
      </c>
    </row>
    <row r="846" spans="21:28" ht="13">
      <c r="U846" s="49">
        <f>COUNTIF('Awesome People List-Master'!D:D,T846)</f>
        <v>0</v>
      </c>
      <c r="AB846" s="169">
        <f>ROUND('Awesome People List-Master'!A1199,0)</f>
        <v>0</v>
      </c>
    </row>
    <row r="847" spans="21:28" ht="13">
      <c r="U847" s="49">
        <f>COUNTIF('Awesome People List-Master'!D:D,T847)</f>
        <v>0</v>
      </c>
      <c r="AB847" s="169">
        <f>ROUND('Awesome People List-Master'!A1200,0)</f>
        <v>0</v>
      </c>
    </row>
    <row r="848" spans="21:28" ht="13">
      <c r="U848" s="49">
        <f>COUNTIF('Awesome People List-Master'!D:D,T848)</f>
        <v>0</v>
      </c>
      <c r="AB848" s="169">
        <f>ROUND('Awesome People List-Master'!A1201,0)</f>
        <v>0</v>
      </c>
    </row>
    <row r="849" spans="21:28" ht="13">
      <c r="U849" s="49">
        <f>COUNTIF('Awesome People List-Master'!D:D,T849)</f>
        <v>0</v>
      </c>
      <c r="AB849" s="169">
        <f>ROUND('Awesome People List-Master'!A1202,0)</f>
        <v>0</v>
      </c>
    </row>
    <row r="850" spans="21:28" ht="13">
      <c r="U850" s="49">
        <f>COUNTIF('Awesome People List-Master'!D:D,T850)</f>
        <v>0</v>
      </c>
      <c r="AB850" s="169">
        <f>ROUND('Awesome People List-Master'!A1203,0)</f>
        <v>0</v>
      </c>
    </row>
    <row r="851" spans="21:28" ht="13">
      <c r="U851" s="49">
        <f>COUNTIF('Awesome People List-Master'!D:D,T851)</f>
        <v>0</v>
      </c>
      <c r="AB851" s="169">
        <f>ROUND('Awesome People List-Master'!A1204,0)</f>
        <v>0</v>
      </c>
    </row>
    <row r="852" spans="21:28" ht="13">
      <c r="U852" s="49">
        <f>COUNTIF('Awesome People List-Master'!D:D,T852)</f>
        <v>0</v>
      </c>
      <c r="AB852" s="169">
        <f>ROUND('Awesome People List-Master'!A1205,0)</f>
        <v>0</v>
      </c>
    </row>
    <row r="853" spans="21:28" ht="13">
      <c r="U853" s="49">
        <f>COUNTIF('Awesome People List-Master'!D:D,T853)</f>
        <v>0</v>
      </c>
      <c r="AB853" s="169">
        <f>ROUND('Awesome People List-Master'!A1206,0)</f>
        <v>0</v>
      </c>
    </row>
    <row r="854" spans="21:28" ht="13">
      <c r="U854" s="49">
        <f>COUNTIF('Awesome People List-Master'!D:D,T854)</f>
        <v>0</v>
      </c>
      <c r="AB854" s="169">
        <f>ROUND('Awesome People List-Master'!A1207,0)</f>
        <v>0</v>
      </c>
    </row>
    <row r="855" spans="21:28" ht="13">
      <c r="U855" s="49">
        <f>COUNTIF('Awesome People List-Master'!D:D,T855)</f>
        <v>0</v>
      </c>
      <c r="AB855" s="169">
        <f>ROUND('Awesome People List-Master'!A1208,0)</f>
        <v>0</v>
      </c>
    </row>
    <row r="856" spans="21:28" ht="13">
      <c r="U856" s="49">
        <f>COUNTIF('Awesome People List-Master'!D:D,T856)</f>
        <v>0</v>
      </c>
      <c r="AB856" s="169">
        <f>ROUND('Awesome People List-Master'!A1209,0)</f>
        <v>0</v>
      </c>
    </row>
    <row r="857" spans="21:28" ht="13">
      <c r="U857" s="49">
        <f>COUNTIF('Awesome People List-Master'!D:D,T857)</f>
        <v>0</v>
      </c>
      <c r="AB857" s="169">
        <f>ROUND('Awesome People List-Master'!A1210,0)</f>
        <v>0</v>
      </c>
    </row>
    <row r="858" spans="21:28" ht="13">
      <c r="U858" s="49">
        <f>COUNTIF('Awesome People List-Master'!D:D,T858)</f>
        <v>0</v>
      </c>
      <c r="AB858" s="169">
        <f>ROUND('Awesome People List-Master'!A1211,0)</f>
        <v>0</v>
      </c>
    </row>
    <row r="859" spans="21:28" ht="13">
      <c r="U859" s="49">
        <f>COUNTIF('Awesome People List-Master'!D:D,T859)</f>
        <v>0</v>
      </c>
      <c r="AB859" s="169">
        <f>ROUND('Awesome People List-Master'!A1212,0)</f>
        <v>0</v>
      </c>
    </row>
    <row r="860" spans="21:28" ht="13">
      <c r="U860" s="49">
        <f>COUNTIF('Awesome People List-Master'!D:D,T860)</f>
        <v>0</v>
      </c>
      <c r="AB860" s="169">
        <f>ROUND('Awesome People List-Master'!A1213,0)</f>
        <v>0</v>
      </c>
    </row>
    <row r="861" spans="21:28" ht="13">
      <c r="U861" s="49">
        <f>COUNTIF('Awesome People List-Master'!D:D,T861)</f>
        <v>0</v>
      </c>
      <c r="AB861" s="169">
        <f>ROUND('Awesome People List-Master'!A1214,0)</f>
        <v>0</v>
      </c>
    </row>
    <row r="862" spans="21:28" ht="13">
      <c r="U862" s="49">
        <f>COUNTIF('Awesome People List-Master'!D:D,T862)</f>
        <v>0</v>
      </c>
      <c r="AB862" s="169">
        <f>ROUND('Awesome People List-Master'!A1215,0)</f>
        <v>0</v>
      </c>
    </row>
    <row r="863" spans="21:28" ht="13">
      <c r="U863" s="49">
        <f>COUNTIF('Awesome People List-Master'!D:D,T863)</f>
        <v>0</v>
      </c>
      <c r="AB863" s="169">
        <f>ROUND('Awesome People List-Master'!A1216,0)</f>
        <v>0</v>
      </c>
    </row>
    <row r="864" spans="21:28" ht="13">
      <c r="U864" s="49">
        <f>COUNTIF('Awesome People List-Master'!D:D,T864)</f>
        <v>0</v>
      </c>
      <c r="AB864" s="169">
        <f>ROUND('Awesome People List-Master'!A1217,0)</f>
        <v>0</v>
      </c>
    </row>
    <row r="865" spans="21:28" ht="13">
      <c r="U865" s="49">
        <f>COUNTIF('Awesome People List-Master'!D:D,T865)</f>
        <v>0</v>
      </c>
      <c r="AB865" s="169">
        <f>ROUND('Awesome People List-Master'!A1218,0)</f>
        <v>0</v>
      </c>
    </row>
    <row r="866" spans="21:28" ht="13">
      <c r="U866" s="49">
        <f>COUNTIF('Awesome People List-Master'!D:D,T866)</f>
        <v>0</v>
      </c>
      <c r="AB866" s="169">
        <f>ROUND('Awesome People List-Master'!A1219,0)</f>
        <v>0</v>
      </c>
    </row>
    <row r="867" spans="21:28" ht="13">
      <c r="U867" s="49">
        <f>COUNTIF('Awesome People List-Master'!D:D,T867)</f>
        <v>0</v>
      </c>
      <c r="AB867" s="169">
        <f>ROUND('Awesome People List-Master'!A1220,0)</f>
        <v>0</v>
      </c>
    </row>
    <row r="868" spans="21:28" ht="13">
      <c r="U868" s="49">
        <f>COUNTIF('Awesome People List-Master'!D:D,T868)</f>
        <v>0</v>
      </c>
      <c r="AB868" s="169">
        <f>ROUND('Awesome People List-Master'!A1221,0)</f>
        <v>0</v>
      </c>
    </row>
    <row r="869" spans="21:28" ht="13">
      <c r="U869" s="49">
        <f>COUNTIF('Awesome People List-Master'!D:D,T869)</f>
        <v>0</v>
      </c>
      <c r="AB869" s="169">
        <f>ROUND('Awesome People List-Master'!A1222,0)</f>
        <v>0</v>
      </c>
    </row>
    <row r="870" spans="21:28" ht="13">
      <c r="U870" s="49">
        <f>COUNTIF('Awesome People List-Master'!D:D,T870)</f>
        <v>0</v>
      </c>
      <c r="AB870" s="169">
        <f>ROUND('Awesome People List-Master'!A1223,0)</f>
        <v>0</v>
      </c>
    </row>
    <row r="871" spans="21:28" ht="13">
      <c r="U871" s="49">
        <f>COUNTIF('Awesome People List-Master'!D:D,T871)</f>
        <v>0</v>
      </c>
      <c r="AB871" s="169">
        <f>ROUND('Awesome People List-Master'!A1224,0)</f>
        <v>0</v>
      </c>
    </row>
    <row r="872" spans="21:28" ht="13">
      <c r="U872" s="49">
        <f>COUNTIF('Awesome People List-Master'!D:D,T872)</f>
        <v>0</v>
      </c>
      <c r="AB872" s="169">
        <f>ROUND('Awesome People List-Master'!A1225,0)</f>
        <v>0</v>
      </c>
    </row>
    <row r="873" spans="21:28" ht="13">
      <c r="U873" s="49">
        <f>COUNTIF('Awesome People List-Master'!D:D,T873)</f>
        <v>0</v>
      </c>
      <c r="AB873" s="169">
        <f>ROUND('Awesome People List-Master'!A1226,0)</f>
        <v>0</v>
      </c>
    </row>
    <row r="874" spans="21:28" ht="13">
      <c r="U874" s="49">
        <f>COUNTIF('Awesome People List-Master'!D:D,T874)</f>
        <v>0</v>
      </c>
      <c r="AB874" s="169">
        <f>ROUND('Awesome People List-Master'!A1227,0)</f>
        <v>0</v>
      </c>
    </row>
    <row r="875" spans="21:28" ht="13">
      <c r="U875" s="49">
        <f>COUNTIF('Awesome People List-Master'!D:D,T875)</f>
        <v>0</v>
      </c>
      <c r="AB875" s="169">
        <f>ROUND('Awesome People List-Master'!A1228,0)</f>
        <v>0</v>
      </c>
    </row>
    <row r="876" spans="21:28" ht="13">
      <c r="U876" s="49">
        <f>COUNTIF('Awesome People List-Master'!D:D,T876)</f>
        <v>0</v>
      </c>
      <c r="AB876" s="169">
        <f>ROUND('Awesome People List-Master'!A1229,0)</f>
        <v>0</v>
      </c>
    </row>
    <row r="877" spans="21:28" ht="13">
      <c r="U877" s="49">
        <f>COUNTIF('Awesome People List-Master'!D:D,T877)</f>
        <v>0</v>
      </c>
      <c r="AB877" s="169">
        <f>ROUND('Awesome People List-Master'!A1230,0)</f>
        <v>0</v>
      </c>
    </row>
    <row r="878" spans="21:28" ht="13">
      <c r="U878" s="49">
        <f>COUNTIF('Awesome People List-Master'!D:D,T878)</f>
        <v>0</v>
      </c>
      <c r="AB878" s="169">
        <f>ROUND('Awesome People List-Master'!A1231,0)</f>
        <v>0</v>
      </c>
    </row>
    <row r="879" spans="21:28" ht="13">
      <c r="U879" s="49">
        <f>COUNTIF('Awesome People List-Master'!D:D,T879)</f>
        <v>0</v>
      </c>
      <c r="AB879" s="169">
        <f>ROUND('Awesome People List-Master'!A1232,0)</f>
        <v>0</v>
      </c>
    </row>
    <row r="880" spans="21:28" ht="13">
      <c r="U880" s="49">
        <f>COUNTIF('Awesome People List-Master'!D:D,T880)</f>
        <v>0</v>
      </c>
      <c r="AB880" s="169">
        <f>ROUND('Awesome People List-Master'!A1233,0)</f>
        <v>0</v>
      </c>
    </row>
    <row r="881" spans="21:28" ht="13">
      <c r="U881" s="49">
        <f>COUNTIF('Awesome People List-Master'!D:D,T881)</f>
        <v>0</v>
      </c>
      <c r="AB881" s="169">
        <f>ROUND('Awesome People List-Master'!A1234,0)</f>
        <v>0</v>
      </c>
    </row>
    <row r="882" spans="21:28" ht="13">
      <c r="U882" s="49">
        <f>COUNTIF('Awesome People List-Master'!D:D,T882)</f>
        <v>0</v>
      </c>
      <c r="AB882" s="169">
        <f>ROUND('Awesome People List-Master'!A1235,0)</f>
        <v>0</v>
      </c>
    </row>
    <row r="883" spans="21:28" ht="13">
      <c r="U883" s="49">
        <f>COUNTIF('Awesome People List-Master'!D:D,T883)</f>
        <v>0</v>
      </c>
      <c r="AB883" s="169">
        <f>ROUND('Awesome People List-Master'!A1236,0)</f>
        <v>0</v>
      </c>
    </row>
    <row r="884" spans="21:28" ht="13">
      <c r="U884" s="49">
        <f>COUNTIF('Awesome People List-Master'!D:D,T884)</f>
        <v>0</v>
      </c>
      <c r="AB884" s="169">
        <f>ROUND('Awesome People List-Master'!A1237,0)</f>
        <v>0</v>
      </c>
    </row>
    <row r="885" spans="21:28" ht="13">
      <c r="U885" s="49">
        <f>COUNTIF('Awesome People List-Master'!D:D,T885)</f>
        <v>0</v>
      </c>
      <c r="AB885" s="169">
        <f>ROUND('Awesome People List-Master'!A1238,0)</f>
        <v>0</v>
      </c>
    </row>
    <row r="886" spans="21:28" ht="13">
      <c r="U886" s="49">
        <f>COUNTIF('Awesome People List-Master'!D:D,T886)</f>
        <v>0</v>
      </c>
      <c r="AB886" s="169">
        <f>ROUND('Awesome People List-Master'!A1239,0)</f>
        <v>0</v>
      </c>
    </row>
    <row r="887" spans="21:28" ht="13">
      <c r="U887" s="49">
        <f>COUNTIF('Awesome People List-Master'!D:D,T887)</f>
        <v>0</v>
      </c>
      <c r="AB887" s="169">
        <f>ROUND('Awesome People List-Master'!A1240,0)</f>
        <v>0</v>
      </c>
    </row>
    <row r="888" spans="21:28" ht="13">
      <c r="U888" s="49">
        <f>COUNTIF('Awesome People List-Master'!D:D,T888)</f>
        <v>0</v>
      </c>
      <c r="AB888" s="169">
        <f>ROUND('Awesome People List-Master'!A1241,0)</f>
        <v>0</v>
      </c>
    </row>
    <row r="889" spans="21:28" ht="13">
      <c r="U889" s="49">
        <f>COUNTIF('Awesome People List-Master'!D:D,T889)</f>
        <v>0</v>
      </c>
      <c r="AB889" s="169">
        <f>ROUND('Awesome People List-Master'!A1242,0)</f>
        <v>0</v>
      </c>
    </row>
    <row r="890" spans="21:28" ht="13">
      <c r="U890" s="49">
        <f>COUNTIF('Awesome People List-Master'!D:D,T890)</f>
        <v>0</v>
      </c>
      <c r="AB890" s="169">
        <f>ROUND('Awesome People List-Master'!A1243,0)</f>
        <v>0</v>
      </c>
    </row>
    <row r="891" spans="21:28" ht="13">
      <c r="U891" s="49">
        <f>COUNTIF('Awesome People List-Master'!D:D,T891)</f>
        <v>0</v>
      </c>
      <c r="AB891" s="169">
        <f>ROUND('Awesome People List-Master'!A1244,0)</f>
        <v>0</v>
      </c>
    </row>
    <row r="892" spans="21:28" ht="13">
      <c r="U892" s="49">
        <f>COUNTIF('Awesome People List-Master'!D:D,T892)</f>
        <v>0</v>
      </c>
      <c r="AB892" s="169">
        <f>ROUND('Awesome People List-Master'!A1245,0)</f>
        <v>0</v>
      </c>
    </row>
    <row r="893" spans="21:28" ht="13">
      <c r="U893" s="49">
        <f>COUNTIF('Awesome People List-Master'!D:D,T893)</f>
        <v>0</v>
      </c>
      <c r="AB893" s="169">
        <f>ROUND('Awesome People List-Master'!A1246,0)</f>
        <v>0</v>
      </c>
    </row>
    <row r="894" spans="21:28" ht="13">
      <c r="U894" s="49">
        <f>COUNTIF('Awesome People List-Master'!D:D,T894)</f>
        <v>0</v>
      </c>
      <c r="AB894" s="169">
        <f>ROUND('Awesome People List-Master'!A1247,0)</f>
        <v>0</v>
      </c>
    </row>
    <row r="895" spans="21:28" ht="13">
      <c r="U895" s="49">
        <f>COUNTIF('Awesome People List-Master'!D:D,T895)</f>
        <v>0</v>
      </c>
      <c r="AB895" s="169">
        <f>ROUND('Awesome People List-Master'!A1248,0)</f>
        <v>0</v>
      </c>
    </row>
    <row r="896" spans="21:28" ht="13">
      <c r="U896" s="49">
        <f>COUNTIF('Awesome People List-Master'!D:D,T896)</f>
        <v>0</v>
      </c>
      <c r="AB896" s="169">
        <f>ROUND('Awesome People List-Master'!A1249,0)</f>
        <v>0</v>
      </c>
    </row>
    <row r="897" spans="21:28" ht="13">
      <c r="U897" s="49">
        <f>COUNTIF('Awesome People List-Master'!D:D,T897)</f>
        <v>0</v>
      </c>
      <c r="AB897" s="169">
        <f>ROUND('Awesome People List-Master'!A1250,0)</f>
        <v>0</v>
      </c>
    </row>
    <row r="898" spans="21:28" ht="13">
      <c r="U898" s="49">
        <f>COUNTIF('Awesome People List-Master'!D:D,T898)</f>
        <v>0</v>
      </c>
      <c r="AB898" s="169">
        <f>ROUND('Awesome People List-Master'!A1251,0)</f>
        <v>0</v>
      </c>
    </row>
    <row r="899" spans="21:28" ht="13">
      <c r="U899" s="49">
        <f>COUNTIF('Awesome People List-Master'!D:D,T899)</f>
        <v>0</v>
      </c>
      <c r="AB899" s="169">
        <f>ROUND('Awesome People List-Master'!A1252,0)</f>
        <v>0</v>
      </c>
    </row>
    <row r="900" spans="21:28" ht="13">
      <c r="U900" s="49">
        <f>COUNTIF('Awesome People List-Master'!D:D,T900)</f>
        <v>0</v>
      </c>
      <c r="AB900" s="169">
        <f>ROUND('Awesome People List-Master'!A1253,0)</f>
        <v>0</v>
      </c>
    </row>
    <row r="901" spans="21:28" ht="13">
      <c r="U901" s="49">
        <f>COUNTIF('Awesome People List-Master'!D:D,T901)</f>
        <v>0</v>
      </c>
      <c r="AB901" s="169">
        <f>ROUND('Awesome People List-Master'!A1254,0)</f>
        <v>0</v>
      </c>
    </row>
    <row r="902" spans="21:28" ht="13">
      <c r="U902" s="49">
        <f>COUNTIF('Awesome People List-Master'!D:D,T902)</f>
        <v>0</v>
      </c>
      <c r="AB902" s="169">
        <f>ROUND('Awesome People List-Master'!A1275,0)</f>
        <v>0</v>
      </c>
    </row>
    <row r="903" spans="21:28" ht="13">
      <c r="U903" s="49">
        <f>COUNTIF('Awesome People List-Master'!D:D,T903)</f>
        <v>0</v>
      </c>
      <c r="AB903" s="169">
        <f>ROUND('Awesome People List-Master'!A1276,0)</f>
        <v>0</v>
      </c>
    </row>
    <row r="904" spans="21:28" ht="13">
      <c r="U904" s="49">
        <f>COUNTIF('Awesome People List-Master'!D:D,T904)</f>
        <v>0</v>
      </c>
      <c r="AB904" s="169">
        <f>ROUND('Awesome People List-Master'!A1277,0)</f>
        <v>0</v>
      </c>
    </row>
    <row r="905" spans="21:28" ht="13">
      <c r="U905" s="49">
        <f>COUNTIF('Awesome People List-Master'!D:D,T905)</f>
        <v>0</v>
      </c>
      <c r="AB905" s="169">
        <f>ROUND('Awesome People List-Master'!A1278,0)</f>
        <v>0</v>
      </c>
    </row>
    <row r="906" spans="21:28" ht="13">
      <c r="U906" s="49">
        <f>COUNTIF('Awesome People List-Master'!D:D,T906)</f>
        <v>0</v>
      </c>
      <c r="AB906" s="169">
        <f>ROUND('Awesome People List-Master'!A1279,0)</f>
        <v>0</v>
      </c>
    </row>
    <row r="907" spans="21:28" ht="13">
      <c r="U907" s="49">
        <f>COUNTIF('Awesome People List-Master'!D:D,T907)</f>
        <v>0</v>
      </c>
      <c r="AB907" s="169">
        <f>ROUND('Awesome People List-Master'!A1280,0)</f>
        <v>0</v>
      </c>
    </row>
    <row r="908" spans="21:28" ht="13">
      <c r="U908" s="49">
        <f>COUNTIF('Awesome People List-Master'!D:D,T908)</f>
        <v>0</v>
      </c>
      <c r="AB908" s="169">
        <f>ROUND('Awesome People List-Master'!A1281,0)</f>
        <v>0</v>
      </c>
    </row>
    <row r="909" spans="21:28" ht="13">
      <c r="U909" s="49">
        <f>COUNTIF('Awesome People List-Master'!D:D,T909)</f>
        <v>0</v>
      </c>
      <c r="AB909" s="169">
        <f>ROUND('Awesome People List-Master'!A1282,0)</f>
        <v>0</v>
      </c>
    </row>
    <row r="910" spans="21:28" ht="13">
      <c r="U910" s="49">
        <f>COUNTIF('Awesome People List-Master'!D:D,T910)</f>
        <v>0</v>
      </c>
      <c r="AB910" s="169">
        <f>ROUND('Awesome People List-Master'!A1283,0)</f>
        <v>0</v>
      </c>
    </row>
    <row r="911" spans="21:28" ht="13">
      <c r="U911" s="49">
        <f>COUNTIF('Awesome People List-Master'!D:D,T911)</f>
        <v>0</v>
      </c>
      <c r="AB911" s="169">
        <f>ROUND('Awesome People List-Master'!A1284,0)</f>
        <v>0</v>
      </c>
    </row>
    <row r="912" spans="21:28" ht="13">
      <c r="U912" s="49">
        <f>COUNTIF('Awesome People List-Master'!D:D,T912)</f>
        <v>0</v>
      </c>
      <c r="AB912" s="169">
        <f>ROUND('Awesome People List-Master'!A1285,0)</f>
        <v>0</v>
      </c>
    </row>
    <row r="913" spans="21:28" ht="13">
      <c r="U913" s="49">
        <f>COUNTIF('Awesome People List-Master'!D:D,T913)</f>
        <v>0</v>
      </c>
      <c r="AB913" s="169">
        <f>ROUND('Awesome People List-Master'!A1286,0)</f>
        <v>0</v>
      </c>
    </row>
    <row r="914" spans="21:28" ht="13">
      <c r="U914" s="49">
        <f>COUNTIF('Awesome People List-Master'!D:D,T914)</f>
        <v>0</v>
      </c>
      <c r="AB914" s="169">
        <f>ROUND('Awesome People List-Master'!A1287,0)</f>
        <v>0</v>
      </c>
    </row>
    <row r="915" spans="21:28" ht="13">
      <c r="U915" s="49">
        <f>COUNTIF('Awesome People List-Master'!D:D,T915)</f>
        <v>0</v>
      </c>
      <c r="AB915" s="169">
        <f>ROUND('Awesome People List-Master'!A1288,0)</f>
        <v>0</v>
      </c>
    </row>
    <row r="916" spans="21:28" ht="13">
      <c r="U916" s="49">
        <f>COUNTIF('Awesome People List-Master'!D:D,T916)</f>
        <v>0</v>
      </c>
      <c r="AB916" s="169">
        <f>ROUND('Awesome People List-Master'!A1289,0)</f>
        <v>0</v>
      </c>
    </row>
    <row r="917" spans="21:28" ht="13">
      <c r="U917" s="49">
        <f>COUNTIF('Awesome People List-Master'!D:D,T917)</f>
        <v>0</v>
      </c>
      <c r="AB917" s="169">
        <f>ROUND('Awesome People List-Master'!A1290,0)</f>
        <v>0</v>
      </c>
    </row>
    <row r="918" spans="21:28" ht="13">
      <c r="U918" s="49">
        <f>COUNTIF('Awesome People List-Master'!D:D,T918)</f>
        <v>0</v>
      </c>
      <c r="AB918" s="169">
        <f>ROUND('Awesome People List-Master'!A1291,0)</f>
        <v>0</v>
      </c>
    </row>
    <row r="919" spans="21:28" ht="13">
      <c r="U919" s="49">
        <f>COUNTIF('Awesome People List-Master'!D:D,T919)</f>
        <v>0</v>
      </c>
      <c r="AB919" s="169">
        <f>ROUND('Awesome People List-Master'!A1292,0)</f>
        <v>0</v>
      </c>
    </row>
    <row r="920" spans="21:28" ht="13">
      <c r="U920" s="49">
        <f>COUNTIF('Awesome People List-Master'!D:D,T920)</f>
        <v>0</v>
      </c>
      <c r="AB920" s="169">
        <f>ROUND('Awesome People List-Master'!A1293,0)</f>
        <v>0</v>
      </c>
    </row>
    <row r="921" spans="21:28" ht="13">
      <c r="U921" s="49">
        <f>COUNTIF('Awesome People List-Master'!D:D,T921)</f>
        <v>0</v>
      </c>
      <c r="AB921" s="169">
        <f>ROUND('Awesome People List-Master'!A1294,0)</f>
        <v>0</v>
      </c>
    </row>
    <row r="922" spans="21:28" ht="13">
      <c r="U922" s="49">
        <f>COUNTIF('Awesome People List-Master'!D:D,T922)</f>
        <v>0</v>
      </c>
      <c r="AB922" s="169">
        <f>ROUND('Awesome People List-Master'!A1295,0)</f>
        <v>0</v>
      </c>
    </row>
    <row r="923" spans="21:28" ht="13">
      <c r="U923" s="49">
        <f>COUNTIF('Awesome People List-Master'!D:D,T923)</f>
        <v>0</v>
      </c>
      <c r="AB923" s="169">
        <f>ROUND('Awesome People List-Master'!A1296,0)</f>
        <v>0</v>
      </c>
    </row>
    <row r="924" spans="21:28" ht="13">
      <c r="U924" s="49">
        <f>COUNTIF('Awesome People List-Master'!D:D,T924)</f>
        <v>0</v>
      </c>
      <c r="AB924" s="169">
        <f>ROUND('Awesome People List-Master'!A1297,0)</f>
        <v>0</v>
      </c>
    </row>
    <row r="925" spans="21:28" ht="13">
      <c r="U925" s="49">
        <f>COUNTIF('Awesome People List-Master'!D:D,T925)</f>
        <v>0</v>
      </c>
      <c r="AB925" s="169">
        <f>ROUND('Awesome People List-Master'!A1298,0)</f>
        <v>0</v>
      </c>
    </row>
    <row r="926" spans="21:28" ht="13">
      <c r="U926" s="49">
        <f>COUNTIF('Awesome People List-Master'!D:D,T926)</f>
        <v>0</v>
      </c>
      <c r="AB926" s="169">
        <f>ROUND('Awesome People List-Master'!A1299,0)</f>
        <v>0</v>
      </c>
    </row>
    <row r="927" spans="21:28" ht="13">
      <c r="U927" s="49">
        <f>COUNTIF('Awesome People List-Master'!D:D,T927)</f>
        <v>0</v>
      </c>
      <c r="AB927" s="169">
        <f>ROUND('Awesome People List-Master'!A1300,0)</f>
        <v>0</v>
      </c>
    </row>
    <row r="928" spans="21:28" ht="13">
      <c r="U928" s="49">
        <f>COUNTIF('Awesome People List-Master'!D:D,T928)</f>
        <v>0</v>
      </c>
      <c r="AB928" s="169">
        <f>ROUND('Awesome People List-Master'!A1301,0)</f>
        <v>0</v>
      </c>
    </row>
    <row r="929" spans="21:28" ht="13">
      <c r="U929" s="49">
        <f>COUNTIF('Awesome People List-Master'!D:D,T929)</f>
        <v>0</v>
      </c>
      <c r="AB929" s="169">
        <f>ROUND('Awesome People List-Master'!A1302,0)</f>
        <v>0</v>
      </c>
    </row>
    <row r="930" spans="21:28" ht="13">
      <c r="U930" s="49">
        <f>COUNTIF('Awesome People List-Master'!D:D,T930)</f>
        <v>0</v>
      </c>
      <c r="AB930" s="169">
        <f>ROUND('Awesome People List-Master'!A1303,0)</f>
        <v>0</v>
      </c>
    </row>
    <row r="931" spans="21:28" ht="13">
      <c r="U931" s="49">
        <f>COUNTIF('Awesome People List-Master'!D:D,T931)</f>
        <v>0</v>
      </c>
      <c r="AB931" s="169">
        <f>ROUND('Awesome People List-Master'!A1304,0)</f>
        <v>0</v>
      </c>
    </row>
    <row r="932" spans="21:28" ht="13">
      <c r="U932" s="49">
        <f>COUNTIF('Awesome People List-Master'!D:D,T932)</f>
        <v>0</v>
      </c>
      <c r="AB932" s="169">
        <f>ROUND('Awesome People List-Master'!A1305,0)</f>
        <v>0</v>
      </c>
    </row>
    <row r="933" spans="21:28" ht="13">
      <c r="U933" s="49">
        <f>COUNTIF('Awesome People List-Master'!D:D,T933)</f>
        <v>0</v>
      </c>
      <c r="AB933" s="169">
        <f>ROUND('Awesome People List-Master'!A1306,0)</f>
        <v>0</v>
      </c>
    </row>
    <row r="934" spans="21:28" ht="13">
      <c r="U934" s="49">
        <f>COUNTIF('Awesome People List-Master'!D:D,T934)</f>
        <v>0</v>
      </c>
      <c r="AB934" s="169">
        <f>ROUND('Awesome People List-Master'!A1307,0)</f>
        <v>0</v>
      </c>
    </row>
    <row r="935" spans="21:28" ht="13">
      <c r="U935" s="49">
        <f>COUNTIF('Awesome People List-Master'!D:D,T935)</f>
        <v>0</v>
      </c>
      <c r="AB935" s="169">
        <f>ROUND('Awesome People List-Master'!A1308,0)</f>
        <v>0</v>
      </c>
    </row>
    <row r="936" spans="21:28" ht="13">
      <c r="U936" s="49">
        <f>COUNTIF('Awesome People List-Master'!D:D,T936)</f>
        <v>0</v>
      </c>
      <c r="AB936" s="169">
        <f>ROUND('Awesome People List-Master'!A1309,0)</f>
        <v>0</v>
      </c>
    </row>
    <row r="937" spans="21:28" ht="13">
      <c r="U937" s="49">
        <f>COUNTIF('Awesome People List-Master'!D:D,T937)</f>
        <v>0</v>
      </c>
      <c r="AB937" s="169">
        <f>ROUND('Awesome People List-Master'!A1310,0)</f>
        <v>0</v>
      </c>
    </row>
    <row r="938" spans="21:28" ht="13">
      <c r="U938" s="49">
        <f>COUNTIF('Awesome People List-Master'!D:D,T938)</f>
        <v>0</v>
      </c>
      <c r="AB938" s="169">
        <f>ROUND('Awesome People List-Master'!A1311,0)</f>
        <v>0</v>
      </c>
    </row>
    <row r="939" spans="21:28" ht="13">
      <c r="U939" s="49">
        <f>COUNTIF('Awesome People List-Master'!D:D,T939)</f>
        <v>0</v>
      </c>
      <c r="AB939" s="169">
        <f>ROUND('Awesome People List-Master'!A1312,0)</f>
        <v>0</v>
      </c>
    </row>
    <row r="940" spans="21:28" ht="13">
      <c r="U940" s="49">
        <f>COUNTIF('Awesome People List-Master'!D:D,T940)</f>
        <v>0</v>
      </c>
      <c r="AB940" s="169">
        <f>ROUND('Awesome People List-Master'!A1313,0)</f>
        <v>0</v>
      </c>
    </row>
    <row r="941" spans="21:28" ht="13">
      <c r="U941" s="49">
        <f>COUNTIF('Awesome People List-Master'!D:D,T941)</f>
        <v>0</v>
      </c>
      <c r="AB941" s="169">
        <f>ROUND('Awesome People List-Master'!A1314,0)</f>
        <v>0</v>
      </c>
    </row>
    <row r="942" spans="21:28" ht="13">
      <c r="U942" s="49">
        <f>COUNTIF('Awesome People List-Master'!D:D,T942)</f>
        <v>0</v>
      </c>
      <c r="AB942" s="169">
        <f>ROUND('Awesome People List-Master'!A1315,0)</f>
        <v>0</v>
      </c>
    </row>
    <row r="943" spans="21:28" ht="13">
      <c r="U943" s="49">
        <f>COUNTIF('Awesome People List-Master'!D:D,T943)</f>
        <v>0</v>
      </c>
      <c r="AB943" s="169">
        <f>ROUND('Awesome People List-Master'!A1316,0)</f>
        <v>0</v>
      </c>
    </row>
    <row r="944" spans="21:28" ht="13">
      <c r="U944" s="49">
        <f>COUNTIF('Awesome People List-Master'!D:D,T944)</f>
        <v>0</v>
      </c>
      <c r="AB944" s="169">
        <f>ROUND('Awesome People List-Master'!A1317,0)</f>
        <v>0</v>
      </c>
    </row>
    <row r="945" spans="21:28" ht="13">
      <c r="U945" s="49">
        <f>COUNTIF('Awesome People List-Master'!D:D,T945)</f>
        <v>0</v>
      </c>
      <c r="AB945" s="169">
        <f>ROUND('Awesome People List-Master'!A1318,0)</f>
        <v>0</v>
      </c>
    </row>
    <row r="946" spans="21:28" ht="13">
      <c r="U946" s="49">
        <f>COUNTIF('Awesome People List-Master'!D:D,T946)</f>
        <v>0</v>
      </c>
      <c r="AB946" s="169">
        <f>ROUND('Awesome People List-Master'!A1319,0)</f>
        <v>0</v>
      </c>
    </row>
    <row r="947" spans="21:28" ht="13">
      <c r="U947" s="49">
        <f>COUNTIF('Awesome People List-Master'!D:D,T947)</f>
        <v>0</v>
      </c>
      <c r="AB947" s="169">
        <f>ROUND('Awesome People List-Master'!A1320,0)</f>
        <v>0</v>
      </c>
    </row>
    <row r="948" spans="21:28" ht="13">
      <c r="U948" s="49">
        <f>COUNTIF('Awesome People List-Master'!D:D,T948)</f>
        <v>0</v>
      </c>
      <c r="AB948" s="169">
        <f>ROUND('Awesome People List-Master'!A1321,0)</f>
        <v>0</v>
      </c>
    </row>
    <row r="949" spans="21:28" ht="13">
      <c r="U949" s="49">
        <f>COUNTIF('Awesome People List-Master'!D:D,T949)</f>
        <v>0</v>
      </c>
      <c r="AB949" s="169">
        <f>ROUND('Awesome People List-Master'!A1322,0)</f>
        <v>0</v>
      </c>
    </row>
    <row r="950" spans="21:28" ht="13">
      <c r="U950" s="49">
        <f>COUNTIF('Awesome People List-Master'!D:D,T950)</f>
        <v>0</v>
      </c>
      <c r="AB950" s="169">
        <f>ROUND('Awesome People List-Master'!A1323,0)</f>
        <v>0</v>
      </c>
    </row>
    <row r="951" spans="21:28" ht="13">
      <c r="U951" s="49">
        <f>COUNTIF('Awesome People List-Master'!D:D,T951)</f>
        <v>0</v>
      </c>
      <c r="AB951" s="169">
        <f>ROUND('Awesome People List-Master'!A1324,0)</f>
        <v>0</v>
      </c>
    </row>
    <row r="952" spans="21:28" ht="13">
      <c r="U952" s="49">
        <f>COUNTIF('Awesome People List-Master'!D:D,T952)</f>
        <v>0</v>
      </c>
      <c r="AB952" s="169">
        <f>ROUND('Awesome People List-Master'!A1325,0)</f>
        <v>0</v>
      </c>
    </row>
    <row r="953" spans="21:28" ht="13">
      <c r="U953" s="49">
        <f>COUNTIF('Awesome People List-Master'!D:D,T953)</f>
        <v>0</v>
      </c>
      <c r="AB953" s="169">
        <f>ROUND('Awesome People List-Master'!A1326,0)</f>
        <v>0</v>
      </c>
    </row>
    <row r="954" spans="21:28" ht="13">
      <c r="U954" s="49">
        <f>COUNTIF('Awesome People List-Master'!D:D,T954)</f>
        <v>0</v>
      </c>
      <c r="AB954" s="169">
        <f>ROUND('Awesome People List-Master'!A1327,0)</f>
        <v>0</v>
      </c>
    </row>
    <row r="955" spans="21:28" ht="13">
      <c r="U955" s="49">
        <f>COUNTIF('Awesome People List-Master'!D:D,T955)</f>
        <v>0</v>
      </c>
      <c r="AB955" s="169">
        <f>ROUND('Awesome People List-Master'!A1328,0)</f>
        <v>0</v>
      </c>
    </row>
    <row r="956" spans="21:28" ht="13">
      <c r="U956" s="49">
        <f>COUNTIF('Awesome People List-Master'!D:D,T956)</f>
        <v>0</v>
      </c>
      <c r="AB956" s="169">
        <f>ROUND('Awesome People List-Master'!A1329,0)</f>
        <v>0</v>
      </c>
    </row>
    <row r="957" spans="21:28" ht="13">
      <c r="U957" s="49">
        <f>COUNTIF('Awesome People List-Master'!D:D,T957)</f>
        <v>0</v>
      </c>
      <c r="AB957" s="169">
        <f>ROUND('Awesome People List-Master'!A1330,0)</f>
        <v>0</v>
      </c>
    </row>
    <row r="958" spans="21:28" ht="13">
      <c r="U958" s="49">
        <f>COUNTIF('Awesome People List-Master'!D:D,T958)</f>
        <v>0</v>
      </c>
      <c r="AB958" s="169">
        <f>ROUND('Awesome People List-Master'!A1331,0)</f>
        <v>0</v>
      </c>
    </row>
    <row r="959" spans="21:28" ht="13">
      <c r="U959" s="49">
        <f>COUNTIF('Awesome People List-Master'!D:D,T959)</f>
        <v>0</v>
      </c>
      <c r="AB959" s="169">
        <f>ROUND('Awesome People List-Master'!A1332,0)</f>
        <v>0</v>
      </c>
    </row>
    <row r="960" spans="21:28" ht="13">
      <c r="U960" s="49">
        <f>COUNTIF('Awesome People List-Master'!D:D,T960)</f>
        <v>0</v>
      </c>
      <c r="AB960" s="169">
        <f>ROUND('Awesome People List-Master'!A1333,0)</f>
        <v>0</v>
      </c>
    </row>
    <row r="961" spans="21:28" ht="13">
      <c r="U961" s="49">
        <f>COUNTIF('Awesome People List-Master'!D:D,T961)</f>
        <v>0</v>
      </c>
      <c r="AB961" s="169">
        <f>ROUND('Awesome People List-Master'!A1334,0)</f>
        <v>0</v>
      </c>
    </row>
    <row r="962" spans="21:28" ht="13">
      <c r="U962" s="49">
        <f>COUNTIF('Awesome People List-Master'!D:D,T962)</f>
        <v>0</v>
      </c>
      <c r="AB962" s="169">
        <f>ROUND('Awesome People List-Master'!A1335,0)</f>
        <v>0</v>
      </c>
    </row>
    <row r="963" spans="21:28" ht="13">
      <c r="U963" s="49">
        <f>COUNTIF('Awesome People List-Master'!D:D,T963)</f>
        <v>0</v>
      </c>
      <c r="AB963" s="169">
        <f>ROUND('Awesome People List-Master'!A1336,0)</f>
        <v>0</v>
      </c>
    </row>
    <row r="964" spans="21:28" ht="13">
      <c r="U964" s="49">
        <f>COUNTIF('Awesome People List-Master'!D:D,T964)</f>
        <v>0</v>
      </c>
      <c r="AB964" s="169">
        <f>ROUND('Awesome People List-Master'!A1337,0)</f>
        <v>0</v>
      </c>
    </row>
    <row r="965" spans="21:28" ht="13">
      <c r="U965" s="49">
        <f>COUNTIF('Awesome People List-Master'!D:D,T965)</f>
        <v>0</v>
      </c>
      <c r="AB965" s="169">
        <f>ROUND('Awesome People List-Master'!A1338,0)</f>
        <v>0</v>
      </c>
    </row>
    <row r="966" spans="21:28" ht="13">
      <c r="U966" s="49">
        <f>COUNTIF('Awesome People List-Master'!D:D,T966)</f>
        <v>0</v>
      </c>
      <c r="AB966" s="169">
        <f>ROUND('Awesome People List-Master'!A1339,0)</f>
        <v>0</v>
      </c>
    </row>
    <row r="967" spans="21:28" ht="13">
      <c r="U967" s="49">
        <f>COUNTIF('Awesome People List-Master'!D:D,T967)</f>
        <v>0</v>
      </c>
      <c r="AB967" s="169">
        <f>ROUND('Awesome People List-Master'!A1340,0)</f>
        <v>0</v>
      </c>
    </row>
    <row r="968" spans="21:28" ht="13">
      <c r="U968" s="49">
        <f>COUNTIF('Awesome People List-Master'!D:D,T968)</f>
        <v>0</v>
      </c>
      <c r="AB968" s="169">
        <f>ROUND('Awesome People List-Master'!A1341,0)</f>
        <v>0</v>
      </c>
    </row>
    <row r="969" spans="21:28" ht="13">
      <c r="U969" s="49">
        <f>COUNTIF('Awesome People List-Master'!D:D,T969)</f>
        <v>0</v>
      </c>
      <c r="AB969" s="169">
        <f>ROUND('Awesome People List-Master'!A1342,0)</f>
        <v>0</v>
      </c>
    </row>
    <row r="970" spans="21:28" ht="13">
      <c r="U970" s="49">
        <f>COUNTIF('Awesome People List-Master'!D:D,T970)</f>
        <v>0</v>
      </c>
      <c r="AB970" s="169">
        <f>ROUND('Awesome People List-Master'!A1343,0)</f>
        <v>0</v>
      </c>
    </row>
    <row r="971" spans="21:28" ht="13">
      <c r="U971" s="49">
        <f>COUNTIF('Awesome People List-Master'!D:D,T971)</f>
        <v>0</v>
      </c>
      <c r="AB971" s="169">
        <f>ROUND('Awesome People List-Master'!A1344,0)</f>
        <v>0</v>
      </c>
    </row>
    <row r="972" spans="21:28" ht="13">
      <c r="U972" s="49">
        <f>COUNTIF('Awesome People List-Master'!D:D,T972)</f>
        <v>0</v>
      </c>
      <c r="AB972" s="169">
        <f>ROUND('Awesome People List-Master'!A1345,0)</f>
        <v>0</v>
      </c>
    </row>
    <row r="973" spans="21:28" ht="13">
      <c r="U973" s="49">
        <f>COUNTIF('Awesome People List-Master'!D:D,T973)</f>
        <v>0</v>
      </c>
      <c r="AB973" s="169">
        <f>ROUND('Awesome People List-Master'!A1346,0)</f>
        <v>0</v>
      </c>
    </row>
    <row r="974" spans="21:28" ht="13">
      <c r="U974" s="49">
        <f>COUNTIF('Awesome People List-Master'!D:D,T974)</f>
        <v>0</v>
      </c>
      <c r="AB974" s="169">
        <f>ROUND('Awesome People List-Master'!A1347,0)</f>
        <v>0</v>
      </c>
    </row>
    <row r="975" spans="21:28" ht="13">
      <c r="U975" s="49">
        <f>COUNTIF('Awesome People List-Master'!D:D,T975)</f>
        <v>0</v>
      </c>
      <c r="AB975" s="169">
        <f>ROUND('Awesome People List-Master'!A1348,0)</f>
        <v>0</v>
      </c>
    </row>
    <row r="976" spans="21:28" ht="13">
      <c r="U976" s="49">
        <f>COUNTIF('Awesome People List-Master'!D:D,T976)</f>
        <v>0</v>
      </c>
      <c r="AB976" s="169">
        <f>ROUND('Awesome People List-Master'!A1349,0)</f>
        <v>0</v>
      </c>
    </row>
    <row r="977" spans="21:28" ht="13">
      <c r="U977" s="49">
        <f>COUNTIF('Awesome People List-Master'!D:D,T977)</f>
        <v>0</v>
      </c>
      <c r="AB977" s="169">
        <f>ROUND('Awesome People List-Master'!A1350,0)</f>
        <v>0</v>
      </c>
    </row>
    <row r="978" spans="21:28" ht="13">
      <c r="U978" s="49">
        <f>COUNTIF('Awesome People List-Master'!D:D,T978)</f>
        <v>0</v>
      </c>
      <c r="AB978" s="169">
        <f>ROUND('Awesome People List-Master'!A1351,0)</f>
        <v>0</v>
      </c>
    </row>
    <row r="979" spans="21:28" ht="13">
      <c r="U979" s="49">
        <f>COUNTIF('Awesome People List-Master'!D:D,T979)</f>
        <v>0</v>
      </c>
      <c r="AB979" s="169">
        <f>ROUND('Awesome People List-Master'!A1352,0)</f>
        <v>0</v>
      </c>
    </row>
    <row r="980" spans="21:28" ht="13">
      <c r="U980" s="49">
        <f>COUNTIF('Awesome People List-Master'!D:D,T980)</f>
        <v>0</v>
      </c>
      <c r="AB980" s="169">
        <f>ROUND('Awesome People List-Master'!A1353,0)</f>
        <v>0</v>
      </c>
    </row>
    <row r="981" spans="21:28" ht="13">
      <c r="U981" s="49">
        <f>COUNTIF('Awesome People List-Master'!D:D,T981)</f>
        <v>0</v>
      </c>
      <c r="AB981" s="169">
        <f>ROUND('Awesome People List-Master'!A1354,0)</f>
        <v>0</v>
      </c>
    </row>
    <row r="982" spans="21:28" ht="13">
      <c r="U982" s="49">
        <f>COUNTIF('Awesome People List-Master'!D:D,T982)</f>
        <v>0</v>
      </c>
      <c r="AB982" s="169">
        <f>ROUND('Awesome People List-Master'!A1355,0)</f>
        <v>0</v>
      </c>
    </row>
    <row r="983" spans="21:28" ht="13">
      <c r="U983" s="49">
        <f>COUNTIF('Awesome People List-Master'!D:D,T983)</f>
        <v>0</v>
      </c>
      <c r="AB983" s="169">
        <f>ROUND('Awesome People List-Master'!A1356,0)</f>
        <v>0</v>
      </c>
    </row>
    <row r="984" spans="21:28" ht="13">
      <c r="U984" s="49">
        <f>COUNTIF('Awesome People List-Master'!D:D,T984)</f>
        <v>0</v>
      </c>
      <c r="AB984" s="169">
        <f>ROUND('Awesome People List-Master'!A1357,0)</f>
        <v>0</v>
      </c>
    </row>
    <row r="985" spans="21:28" ht="13">
      <c r="U985" s="49">
        <f>COUNTIF('Awesome People List-Master'!D:D,T985)</f>
        <v>0</v>
      </c>
      <c r="AB985" s="169">
        <f>ROUND('Awesome People List-Master'!A1358,0)</f>
        <v>0</v>
      </c>
    </row>
    <row r="986" spans="21:28" ht="13">
      <c r="U986" s="49">
        <f>COUNTIF('Awesome People List-Master'!D:D,T986)</f>
        <v>0</v>
      </c>
      <c r="AB986" s="169">
        <f>ROUND('Awesome People List-Master'!A1359,0)</f>
        <v>0</v>
      </c>
    </row>
    <row r="987" spans="21:28" ht="13">
      <c r="U987" s="49">
        <f>COUNTIF('Awesome People List-Master'!D:D,T987)</f>
        <v>0</v>
      </c>
      <c r="AB987" s="169">
        <f>ROUND('Awesome People List-Master'!A1360,0)</f>
        <v>0</v>
      </c>
    </row>
    <row r="988" spans="21:28" ht="13">
      <c r="U988" s="49">
        <f>COUNTIF('Awesome People List-Master'!D:D,T988)</f>
        <v>0</v>
      </c>
      <c r="AB988" s="169">
        <f>ROUND('Awesome People List-Master'!A1361,0)</f>
        <v>0</v>
      </c>
    </row>
    <row r="989" spans="21:28" ht="13">
      <c r="U989" s="49">
        <f>COUNTIF('Awesome People List-Master'!D:D,T989)</f>
        <v>0</v>
      </c>
      <c r="AB989" s="169">
        <f>ROUND('Awesome People List-Master'!A1362,0)</f>
        <v>0</v>
      </c>
    </row>
    <row r="990" spans="21:28" ht="13">
      <c r="U990" s="49">
        <f>COUNTIF('Awesome People List-Master'!D:D,T990)</f>
        <v>0</v>
      </c>
      <c r="AB990" s="169">
        <f>ROUND('Awesome People List-Master'!A1363,0)</f>
        <v>0</v>
      </c>
    </row>
    <row r="991" spans="21:28" ht="13">
      <c r="U991" s="49">
        <f>COUNTIF('Awesome People List-Master'!D:D,T991)</f>
        <v>0</v>
      </c>
      <c r="AB991" s="169">
        <f>ROUND('Awesome People List-Master'!A1364,0)</f>
        <v>0</v>
      </c>
    </row>
    <row r="992" spans="21:28" ht="13">
      <c r="U992" s="49">
        <f>COUNTIF('Awesome People List-Master'!D:D,T992)</f>
        <v>0</v>
      </c>
      <c r="AB992" s="169">
        <f>ROUND('Awesome People List-Master'!A1365,0)</f>
        <v>0</v>
      </c>
    </row>
    <row r="993" spans="21:28" ht="13">
      <c r="U993" s="49">
        <f>COUNTIF('Awesome People List-Master'!D:D,T993)</f>
        <v>0</v>
      </c>
      <c r="AB993" s="169">
        <f>ROUND('Awesome People List-Master'!A1366,0)</f>
        <v>0</v>
      </c>
    </row>
    <row r="994" spans="21:28" ht="13">
      <c r="U994" s="49">
        <f>COUNTIF('Awesome People List-Master'!D:D,T994)</f>
        <v>0</v>
      </c>
      <c r="AB994" s="169">
        <f>ROUND('Awesome People List-Master'!A1367,0)</f>
        <v>0</v>
      </c>
    </row>
    <row r="995" spans="21:28" ht="13">
      <c r="U995" s="49">
        <f>COUNTIF('Awesome People List-Master'!D:D,T995)</f>
        <v>0</v>
      </c>
      <c r="AB995" s="169">
        <f>ROUND('Awesome People List-Master'!A1368,0)</f>
        <v>0</v>
      </c>
    </row>
    <row r="996" spans="21:28" ht="13">
      <c r="U996" s="49">
        <f>COUNTIF('Awesome People List-Master'!D:D,T996)</f>
        <v>0</v>
      </c>
      <c r="AB996" s="169">
        <f>ROUND('Awesome People List-Master'!A1369,0)</f>
        <v>0</v>
      </c>
    </row>
    <row r="997" spans="21:28" ht="13">
      <c r="U997" s="49">
        <f>COUNTIF('Awesome People List-Master'!D:D,T997)</f>
        <v>0</v>
      </c>
      <c r="AB997" s="169">
        <f>ROUND('Awesome People List-Master'!A1370,0)</f>
        <v>0</v>
      </c>
    </row>
    <row r="998" spans="21:28" ht="13">
      <c r="U998" s="49">
        <f>COUNTIF('Awesome People List-Master'!D:D,T998)</f>
        <v>0</v>
      </c>
      <c r="AB998" s="169">
        <f>ROUND('Awesome People List-Master'!A1371,0)</f>
        <v>0</v>
      </c>
    </row>
    <row r="999" spans="21:28" ht="13">
      <c r="U999" s="49">
        <f>COUNTIF('Awesome People List-Master'!D:D,T999)</f>
        <v>0</v>
      </c>
      <c r="AB999" s="169">
        <f>ROUND('Awesome People List-Master'!A1372,0)</f>
        <v>0</v>
      </c>
    </row>
    <row r="1000" spans="21:28" ht="13">
      <c r="U1000" s="49">
        <f>COUNTIF('Awesome People List-Master'!D:D,T1000)</f>
        <v>0</v>
      </c>
      <c r="AB1000" s="169">
        <f>ROUND('Awesome People List-Master'!A1373,0)</f>
        <v>0</v>
      </c>
    </row>
  </sheetData>
  <hyperlinks>
    <hyperlink ref="T17" r:id="rId2" display="http://getzave.com/" xr:uid="{00000000-0004-0000-0300-000000000000}"/>
    <hyperlink ref="X28" r:id="rId3" display="http://umroh.com/" xr:uid="{00000000-0004-0000-0300-000001000000}"/>
    <hyperlink ref="X31" r:id="rId4" display="http://getzave.com/" xr:uid="{00000000-0004-0000-0300-000002000000}"/>
    <hyperlink ref="X34" r:id="rId5" display="http://ralali.com/" xr:uid="{00000000-0004-0000-0300-000003000000}"/>
    <hyperlink ref="X40" r:id="rId6" display="http://99.co/" xr:uid="{00000000-0004-0000-0300-000004000000}"/>
    <hyperlink ref="X46" r:id="rId7" display="http://mobilkamu.com/" xr:uid="{00000000-0004-0000-0300-000005000000}"/>
    <hyperlink ref="T50" r:id="rId8" display="http://www.flightclaimeu.com/" xr:uid="{00000000-0004-0000-0300-000006000000}"/>
    <hyperlink ref="X93" r:id="rId9" display="http://cermati.com/" xr:uid="{00000000-0004-0000-0300-000007000000}"/>
    <hyperlink ref="T103" r:id="rId10" display="http://umroh.com/" xr:uid="{00000000-0004-0000-0300-000008000000}"/>
    <hyperlink ref="X114" r:id="rId11" display="http://www.lightful.com/" xr:uid="{00000000-0004-0000-0300-000009000000}"/>
    <hyperlink ref="X115" r:id="rId12" display="http://www.flightclaimeu.com/" xr:uid="{00000000-0004-0000-0300-00000A000000}"/>
    <hyperlink ref="X132" r:id="rId13" display="http://vsource.io/" xr:uid="{00000000-0004-0000-0300-00000B000000}"/>
    <hyperlink ref="X142" r:id="rId14" display="http://useget.com/" xr:uid="{00000000-0004-0000-0300-00000C000000}"/>
    <hyperlink ref="T144" r:id="rId15" display="http://booking.com/" xr:uid="{00000000-0004-0000-0300-00000D000000}"/>
    <hyperlink ref="T174" r:id="rId16" display="http://ibunda.id/" xr:uid="{00000000-0004-0000-0300-00000E000000}"/>
    <hyperlink ref="X178" r:id="rId17" display="http://tiket.com/" xr:uid="{00000000-0004-0000-0300-00000F000000}"/>
    <hyperlink ref="T185" r:id="rId18" display="http://homecare24.id/" xr:uid="{00000000-0004-0000-0300-000010000000}"/>
    <hyperlink ref="T192" r:id="rId19" display="http://ralali.com/" xr:uid="{00000000-0004-0000-0300-000011000000}"/>
    <hyperlink ref="X259" r:id="rId20" display="http://referhire.com/" xr:uid="{00000000-0004-0000-0300-000012000000}"/>
    <hyperlink ref="T268" r:id="rId21" display="http://helptheworld.io/" xr:uid="{00000000-0004-0000-0300-000013000000}"/>
    <hyperlink ref="T304" r:id="rId22" display="http://99.co/" xr:uid="{00000000-0004-0000-0300-000014000000}"/>
    <hyperlink ref="T323" r:id="rId23" display="http://pigijo.com/" xr:uid="{00000000-0004-0000-0300-000015000000}"/>
    <hyperlink ref="T353" r:id="rId24" display="http://cermati.com/" xr:uid="{00000000-0004-0000-0300-000016000000}"/>
    <hyperlink ref="T356" r:id="rId25" display="http://vsource.io/" xr:uid="{00000000-0004-0000-0300-000017000000}"/>
    <hyperlink ref="X367" r:id="rId26" display="http://prestisa.com/" xr:uid="{00000000-0004-0000-0300-000018000000}"/>
    <hyperlink ref="X376" r:id="rId27" display="http://pigijo.com/" xr:uid="{00000000-0004-0000-0300-000019000000}"/>
    <hyperlink ref="T384" r:id="rId28" display="http://prestisa.com/" xr:uid="{00000000-0004-0000-0300-00001A000000}"/>
    <hyperlink ref="X404" r:id="rId29" display="http://neuonwoods.com/" xr:uid="{00000000-0004-0000-0300-00001B000000}"/>
    <hyperlink ref="X441" r:id="rId30" display="http://matahari.com/" xr:uid="{00000000-0004-0000-0300-00001C000000}"/>
    <hyperlink ref="T453" r:id="rId31" display="http://c3.ai/" xr:uid="{00000000-0004-0000-0300-00001D000000}"/>
    <hyperlink ref="X457" r:id="rId32" display="http://loopup.com/" xr:uid="{00000000-0004-0000-0300-00001E000000}"/>
    <hyperlink ref="T473" r:id="rId33" display="http://mobilkamu.com/" xr:uid="{00000000-0004-0000-0300-00001F000000}"/>
    <hyperlink ref="X534" r:id="rId34" display="http://imural.id/" xr:uid="{00000000-0004-0000-0300-000020000000}"/>
    <hyperlink ref="X539" r:id="rId35" display="http://ibunda.id/" xr:uid="{00000000-0004-0000-0300-000021000000}"/>
    <hyperlink ref="T550" r:id="rId36" display="http://loopup.com/" xr:uid="{00000000-0004-0000-0300-000022000000}"/>
    <hyperlink ref="X555" r:id="rId37" display="http://homecare24.id/" xr:uid="{00000000-0004-0000-0300-000023000000}"/>
    <hyperlink ref="X566" r:id="rId38" display="http://helptheworld.io/" xr:uid="{00000000-0004-0000-0300-000024000000}"/>
    <hyperlink ref="X575" r:id="rId39" display="http://grivy.com/" xr:uid="{00000000-0004-0000-0300-000025000000}"/>
    <hyperlink ref="T596" r:id="rId40" display="http://www.lightful.com/" xr:uid="{00000000-0004-0000-0300-000026000000}"/>
    <hyperlink ref="T622" r:id="rId41" display="http://imural.id/" xr:uid="{00000000-0004-0000-0300-000027000000}"/>
    <hyperlink ref="T643" r:id="rId42" display="http://matahari.com/" xr:uid="{00000000-0004-0000-0300-000028000000}"/>
    <hyperlink ref="T688" r:id="rId43" display="http://tiket.com/" xr:uid="{00000000-0004-0000-0300-000029000000}"/>
    <hyperlink ref="T706" r:id="rId44" display="http://neuonwoods.com/" xr:uid="{00000000-0004-0000-0300-00002A000000}"/>
    <hyperlink ref="X706" r:id="rId45" display="http://c3.ai/" xr:uid="{00000000-0004-0000-0300-00002B000000}"/>
    <hyperlink ref="X719" r:id="rId46" display="http://booking.com/" xr:uid="{00000000-0004-0000-0300-00002C000000}"/>
    <hyperlink ref="T730" r:id="rId47" display="http://referhire.com/" xr:uid="{00000000-0004-0000-0300-00002D000000}"/>
    <hyperlink ref="T767" r:id="rId48" display="http://useget.com/" xr:uid="{00000000-0004-0000-0300-00002E000000}"/>
    <hyperlink ref="T817" r:id="rId49" display="http://grivy.com/" xr:uid="{00000000-0004-0000-0300-00002F000000}"/>
  </hyperlinks>
  <pageMargins left="0.7" right="0.7" top="0.75" bottom="0.75" header="0.3" footer="0.3"/>
  <drawing r:id="rId5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FIRST -&gt; How to help</vt:lpstr>
      <vt:lpstr>Awesome People List-Master</vt:lpstr>
      <vt:lpstr>Companies still hiring</vt:lpstr>
      <vt:lpstr>Analytics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2020-06-09T02:44:47Z</dcterms:modified>
</cp:coreProperties>
</file>